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1"/>
  </bookViews>
  <sheets>
    <sheet name="Hoja1" sheetId="1" r:id="rId1"/>
    <sheet name="Hoja3" sheetId="2" r:id="rId2"/>
  </sheets>
  <definedNames>
    <definedName name="_xlnm.Print_Area" localSheetId="0">'Hoja1'!#REF!</definedName>
    <definedName name="_xlnm.Print_Area" localSheetId="1">'Hoja3'!$A$2:$AC$37</definedName>
  </definedNames>
  <calcPr fullCalcOnLoad="1"/>
</workbook>
</file>

<file path=xl/sharedStrings.xml><?xml version="1.0" encoding="utf-8"?>
<sst xmlns="http://schemas.openxmlformats.org/spreadsheetml/2006/main" count="76" uniqueCount="66">
  <si>
    <t>ARTICULOS</t>
  </si>
  <si>
    <t>SOCIODEMOGRAFICA</t>
  </si>
  <si>
    <t>TOTALES</t>
  </si>
  <si>
    <t>GRAPADORA GRANDES VOLUMENES</t>
  </si>
  <si>
    <t xml:space="preserve">ADMINISTRACION </t>
  </si>
  <si>
    <t>1° PISO</t>
  </si>
  <si>
    <t>Sec. Gral.</t>
  </si>
  <si>
    <t>Jurídica</t>
  </si>
  <si>
    <t>Proyectos</t>
  </si>
  <si>
    <t>Sueldos</t>
  </si>
  <si>
    <t>Capacitación</t>
  </si>
  <si>
    <t>Mesa Entrada</t>
  </si>
  <si>
    <t xml:space="preserve"> RR.HH</t>
  </si>
  <si>
    <t>Finanzas</t>
  </si>
  <si>
    <t>Tesorería</t>
  </si>
  <si>
    <t>Gest. Calidad</t>
  </si>
  <si>
    <t>3° PISO</t>
  </si>
  <si>
    <t>Est. Economicas</t>
  </si>
  <si>
    <t>IPC</t>
  </si>
  <si>
    <t>Salarios</t>
  </si>
  <si>
    <t>Relevamiento</t>
  </si>
  <si>
    <t>5° PISO</t>
  </si>
  <si>
    <t>Difusión</t>
  </si>
  <si>
    <t>Soporte</t>
  </si>
  <si>
    <t>Sistemas</t>
  </si>
  <si>
    <t>Socio Dem.</t>
  </si>
  <si>
    <t>ECAE</t>
  </si>
  <si>
    <t>ENGHI</t>
  </si>
  <si>
    <t>Transporte</t>
  </si>
  <si>
    <t>SEN</t>
  </si>
  <si>
    <t>Promedio  X Mes</t>
  </si>
  <si>
    <t>LAPICERA Azul</t>
  </si>
  <si>
    <t>LAPICERA Roja</t>
  </si>
  <si>
    <t>LAPICERA Verde</t>
  </si>
  <si>
    <t>Precios Estimados TOTAL</t>
  </si>
  <si>
    <t>BARRA ADHESIVA 15 gramos o más</t>
  </si>
  <si>
    <t>BLOCK A 5, Rayado, 70 h, Espiral, Tapa Dura</t>
  </si>
  <si>
    <t>BLOCK A 4, Rayado, 80 h, Espiral, Tapa Dura</t>
  </si>
  <si>
    <t>CAJAS ARCHIVADORAS de CARTON Tamaño Oficio 9 cms. ancho aprox.</t>
  </si>
  <si>
    <t>CARPETAS CON ELASTICO Común tamaño tipo Oficio</t>
  </si>
  <si>
    <t>CARPETINES CON TAPA  TRANSPARENTES A4</t>
  </si>
  <si>
    <t>CINTA ADHESIVA TRANSPARENTE  ANCHA 48mm x 90 mts. Aproximado</t>
  </si>
  <si>
    <t>CINTA  MAQUINA CALCULAR IR 40T  Negro y Rojo</t>
  </si>
  <si>
    <t>CORRECTOR DE CINTA  8 mt. Aproximado</t>
  </si>
  <si>
    <t>CUADERNOS 96 HOJAS  RAYADO</t>
  </si>
  <si>
    <t>GRAPAS 23/13 CAJAS 1.000 Unidades</t>
  </si>
  <si>
    <t>INDICES DE COLORES  SEPARADORES A 4</t>
  </si>
  <si>
    <t>MARCADORES FLUOR  Colores (Verde, Naranja, Amarillo y Celeste)</t>
  </si>
  <si>
    <t>MARCADORES GRUESOS  PERMANENTES (Azul, Rojo, Negro)</t>
  </si>
  <si>
    <t>MARCADORES PARA PIZARRA (Azul, Rojo, Verde)</t>
  </si>
  <si>
    <t>ROLLOS P/MAQUINA DE CALCULAR  57mm X 57mm X 13mm x 30 Mts.</t>
  </si>
  <si>
    <t>SOBRES CARTA BLANCO 11cms. X 16 cms.</t>
  </si>
  <si>
    <t>SOBRES  BLANCOS  11 cms. X 23 cms.</t>
  </si>
  <si>
    <t>SOBRES GRANDES Manila 30 cms. X 40 cms.</t>
  </si>
  <si>
    <t>TACOS DE ALMANAQUE 2017</t>
  </si>
  <si>
    <t>TIJERAS de 21 cms o más</t>
  </si>
  <si>
    <t>CAJAS ARCHIVADORAS REVISTERO  A 4</t>
  </si>
  <si>
    <t>Código SICE</t>
  </si>
  <si>
    <t>Presentar Muestra</t>
  </si>
  <si>
    <t>si</t>
  </si>
  <si>
    <t>Presentar muestras de los artículos detallados en el cuadro superior.</t>
  </si>
  <si>
    <t xml:space="preserve">Lista de Materiales y Utiles de Oficina a Comprar </t>
  </si>
  <si>
    <t>ENTREGA INMEDIATA</t>
  </si>
  <si>
    <t>Cantidades</t>
  </si>
  <si>
    <t>Las cotizaciones que no tengan las muestras de los artículos detallados en la planilla NO se tendrán en cuenta.</t>
  </si>
  <si>
    <t>BIBLIORATO A4 Ancho Armados</t>
  </si>
</sst>
</file>

<file path=xl/styles.xml><?xml version="1.0" encoding="utf-8"?>
<styleSheet xmlns="http://schemas.openxmlformats.org/spreadsheetml/2006/main">
  <numFmts count="9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_-[$$-340A]\ * #,##0_-;\-[$$-340A]\ * #,##0_-;_-[$$-340A]\ * &quot;-&quot;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/>
    </xf>
    <xf numFmtId="4" fontId="6" fillId="0" borderId="1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sheetData/>
  <printOptions/>
  <pageMargins left="0.1968503937007874" right="0.1968503937007874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3"/>
  <sheetViews>
    <sheetView tabSelected="1" workbookViewId="0" topLeftCell="A1">
      <selection activeCell="A8" sqref="A8"/>
    </sheetView>
  </sheetViews>
  <sheetFormatPr defaultColWidth="11.421875" defaultRowHeight="12.75"/>
  <cols>
    <col min="1" max="1" width="60.00390625" style="0" customWidth="1"/>
    <col min="2" max="2" width="7.00390625" style="0" hidden="1" customWidth="1"/>
    <col min="3" max="3" width="5.7109375" style="0" hidden="1" customWidth="1"/>
    <col min="4" max="4" width="5.8515625" style="0" hidden="1" customWidth="1"/>
    <col min="5" max="5" width="7.421875" style="0" hidden="1" customWidth="1"/>
    <col min="6" max="6" width="7.00390625" style="0" hidden="1" customWidth="1"/>
    <col min="7" max="7" width="6.421875" style="0" hidden="1" customWidth="1"/>
    <col min="8" max="8" width="6.7109375" style="0" hidden="1" customWidth="1"/>
    <col min="9" max="10" width="7.140625" style="0" hidden="1" customWidth="1"/>
    <col min="11" max="11" width="7.28125" style="0" hidden="1" customWidth="1"/>
    <col min="12" max="12" width="6.7109375" style="0" hidden="1" customWidth="1"/>
    <col min="13" max="13" width="7.28125" style="0" hidden="1" customWidth="1"/>
    <col min="14" max="15" width="6.8515625" style="0" hidden="1" customWidth="1"/>
    <col min="16" max="17" width="7.28125" style="0" hidden="1" customWidth="1"/>
    <col min="18" max="18" width="7.421875" style="0" hidden="1" customWidth="1"/>
    <col min="19" max="19" width="8.28125" style="0" hidden="1" customWidth="1"/>
    <col min="20" max="20" width="7.28125" style="0" hidden="1" customWidth="1"/>
    <col min="21" max="21" width="6.57421875" style="0" hidden="1" customWidth="1"/>
    <col min="22" max="22" width="7.00390625" style="0" hidden="1" customWidth="1"/>
    <col min="23" max="23" width="8.421875" style="0" hidden="1" customWidth="1"/>
    <col min="24" max="24" width="9.57421875" style="0" hidden="1" customWidth="1"/>
    <col min="25" max="25" width="0" style="0" hidden="1" customWidth="1"/>
    <col min="26" max="26" width="9.7109375" style="0" customWidth="1"/>
    <col min="27" max="27" width="8.421875" style="0" customWidth="1"/>
    <col min="28" max="28" width="9.28125" style="0" customWidth="1"/>
    <col min="29" max="29" width="0" style="0" hidden="1" customWidth="1"/>
  </cols>
  <sheetData>
    <row r="2" spans="1:29" ht="20.25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4" ht="2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9" ht="13.5" thickBot="1">
      <c r="A4" s="63" t="s">
        <v>0</v>
      </c>
      <c r="B4" s="68" t="s">
        <v>5</v>
      </c>
      <c r="C4" s="69"/>
      <c r="D4" s="70" t="s">
        <v>4</v>
      </c>
      <c r="E4" s="71"/>
      <c r="F4" s="71"/>
      <c r="G4" s="71"/>
      <c r="H4" s="71"/>
      <c r="I4" s="71"/>
      <c r="J4" s="71"/>
      <c r="K4" s="71"/>
      <c r="L4" s="72"/>
      <c r="M4" s="70" t="s">
        <v>16</v>
      </c>
      <c r="N4" s="71"/>
      <c r="O4" s="71"/>
      <c r="P4" s="72"/>
      <c r="Q4" s="73" t="s">
        <v>1</v>
      </c>
      <c r="R4" s="74"/>
      <c r="S4" s="75"/>
      <c r="T4" s="70" t="s">
        <v>21</v>
      </c>
      <c r="U4" s="71"/>
      <c r="V4" s="71"/>
      <c r="W4" s="72"/>
      <c r="X4" s="76" t="s">
        <v>2</v>
      </c>
      <c r="Y4" s="57" t="s">
        <v>30</v>
      </c>
      <c r="Z4" s="57" t="s">
        <v>58</v>
      </c>
      <c r="AA4" s="59" t="s">
        <v>63</v>
      </c>
      <c r="AB4" s="57" t="s">
        <v>57</v>
      </c>
      <c r="AC4" s="59" t="s">
        <v>34</v>
      </c>
    </row>
    <row r="5" spans="1:29" ht="33" customHeight="1" thickBot="1">
      <c r="A5" s="64"/>
      <c r="B5" s="1" t="s">
        <v>6</v>
      </c>
      <c r="C5" s="2" t="s">
        <v>7</v>
      </c>
      <c r="D5" s="3" t="s">
        <v>12</v>
      </c>
      <c r="E5" s="4" t="s">
        <v>9</v>
      </c>
      <c r="F5" s="4" t="s">
        <v>10</v>
      </c>
      <c r="G5" s="4" t="s">
        <v>13</v>
      </c>
      <c r="H5" s="4" t="s">
        <v>14</v>
      </c>
      <c r="I5" s="4" t="s">
        <v>11</v>
      </c>
      <c r="J5" s="4" t="s">
        <v>28</v>
      </c>
      <c r="K5" s="5" t="s">
        <v>15</v>
      </c>
      <c r="L5" s="6" t="s">
        <v>8</v>
      </c>
      <c r="M5" s="3" t="s">
        <v>17</v>
      </c>
      <c r="N5" s="4" t="s">
        <v>18</v>
      </c>
      <c r="O5" s="15" t="s">
        <v>26</v>
      </c>
      <c r="P5" s="6" t="s">
        <v>19</v>
      </c>
      <c r="Q5" s="3" t="s">
        <v>27</v>
      </c>
      <c r="R5" s="4" t="s">
        <v>20</v>
      </c>
      <c r="S5" s="27" t="s">
        <v>25</v>
      </c>
      <c r="T5" s="3" t="s">
        <v>22</v>
      </c>
      <c r="U5" s="2" t="s">
        <v>29</v>
      </c>
      <c r="V5" s="4" t="s">
        <v>23</v>
      </c>
      <c r="W5" s="6" t="s">
        <v>24</v>
      </c>
      <c r="X5" s="77"/>
      <c r="Y5" s="58"/>
      <c r="Z5" s="61"/>
      <c r="AA5" s="60"/>
      <c r="AB5" s="58"/>
      <c r="AC5" s="65"/>
    </row>
    <row r="6" spans="1:29" ht="12.75">
      <c r="A6" s="49" t="s">
        <v>35</v>
      </c>
      <c r="B6" s="29"/>
      <c r="C6" s="30"/>
      <c r="D6" s="29">
        <f>2</f>
        <v>2</v>
      </c>
      <c r="E6" s="31"/>
      <c r="F6" s="31"/>
      <c r="G6" s="31"/>
      <c r="H6" s="31">
        <f>6</f>
        <v>6</v>
      </c>
      <c r="I6" s="31">
        <f>1+1</f>
        <v>2</v>
      </c>
      <c r="J6" s="31">
        <f>1</f>
        <v>1</v>
      </c>
      <c r="K6" s="31"/>
      <c r="L6" s="32">
        <f>5+3</f>
        <v>8</v>
      </c>
      <c r="M6" s="29"/>
      <c r="N6" s="31"/>
      <c r="O6" s="33"/>
      <c r="P6" s="32">
        <f>1</f>
        <v>1</v>
      </c>
      <c r="Q6" s="29"/>
      <c r="R6" s="31">
        <f>10+4+4+10+4</f>
        <v>32</v>
      </c>
      <c r="S6" s="32">
        <v>12</v>
      </c>
      <c r="T6" s="29">
        <v>2</v>
      </c>
      <c r="U6" s="30">
        <f>5</f>
        <v>5</v>
      </c>
      <c r="V6" s="31"/>
      <c r="W6" s="32"/>
      <c r="X6" s="34">
        <f>SUM(B6:W6)</f>
        <v>71</v>
      </c>
      <c r="Y6" s="21">
        <f aca="true" t="shared" si="0" ref="Y6:Y26">X6/11</f>
        <v>6.454545454545454</v>
      </c>
      <c r="Z6" s="50" t="s">
        <v>59</v>
      </c>
      <c r="AA6" s="24">
        <v>50</v>
      </c>
      <c r="AB6" s="53">
        <v>183</v>
      </c>
      <c r="AC6" s="47">
        <f>AA6*20</f>
        <v>1000</v>
      </c>
    </row>
    <row r="7" spans="1:29" ht="12.75">
      <c r="A7" s="18" t="s">
        <v>65</v>
      </c>
      <c r="B7" s="7">
        <f>2</f>
        <v>2</v>
      </c>
      <c r="C7" s="12"/>
      <c r="D7" s="7">
        <f>10+6</f>
        <v>16</v>
      </c>
      <c r="E7" s="8">
        <f>10+2+4+6</f>
        <v>22</v>
      </c>
      <c r="F7" s="8"/>
      <c r="G7" s="8">
        <f>6+1+1+4+1</f>
        <v>13</v>
      </c>
      <c r="H7" s="8">
        <v>6</v>
      </c>
      <c r="I7" s="8"/>
      <c r="J7" s="8">
        <f>2</f>
        <v>2</v>
      </c>
      <c r="K7" s="8"/>
      <c r="L7" s="9">
        <f>2</f>
        <v>2</v>
      </c>
      <c r="M7" s="7"/>
      <c r="N7" s="8"/>
      <c r="O7" s="16"/>
      <c r="P7" s="9">
        <v>2</v>
      </c>
      <c r="Q7" s="7"/>
      <c r="R7" s="8">
        <f>25+6</f>
        <v>31</v>
      </c>
      <c r="S7" s="9">
        <f>12+12+20+24</f>
        <v>68</v>
      </c>
      <c r="T7" s="7"/>
      <c r="U7" s="12"/>
      <c r="V7" s="8"/>
      <c r="W7" s="9"/>
      <c r="X7" s="20">
        <f aca="true" t="shared" si="1" ref="X7:X32">SUM(B7:W7)</f>
        <v>164</v>
      </c>
      <c r="Y7" s="22">
        <f t="shared" si="0"/>
        <v>14.909090909090908</v>
      </c>
      <c r="Z7" s="51"/>
      <c r="AA7" s="25">
        <v>100</v>
      </c>
      <c r="AB7" s="54">
        <v>16</v>
      </c>
      <c r="AC7" s="45">
        <f>AA7*75</f>
        <v>7500</v>
      </c>
    </row>
    <row r="8" spans="1:29" ht="12.75">
      <c r="A8" s="18" t="s">
        <v>37</v>
      </c>
      <c r="B8" s="10"/>
      <c r="C8" s="11"/>
      <c r="D8" s="7">
        <f>1</f>
        <v>1</v>
      </c>
      <c r="E8" s="8">
        <f>2</f>
        <v>2</v>
      </c>
      <c r="F8" s="8">
        <f>1+1</f>
        <v>2</v>
      </c>
      <c r="G8" s="8">
        <v>1</v>
      </c>
      <c r="H8" s="8"/>
      <c r="I8" s="8"/>
      <c r="J8" s="8"/>
      <c r="K8" s="8"/>
      <c r="L8" s="9"/>
      <c r="M8" s="7">
        <f>3+1</f>
        <v>4</v>
      </c>
      <c r="N8" s="8">
        <f>2</f>
        <v>2</v>
      </c>
      <c r="O8" s="16"/>
      <c r="P8" s="9">
        <v>2</v>
      </c>
      <c r="Q8" s="7"/>
      <c r="R8" s="8">
        <v>5</v>
      </c>
      <c r="S8" s="9">
        <f>5+2</f>
        <v>7</v>
      </c>
      <c r="T8" s="7"/>
      <c r="U8" s="12"/>
      <c r="V8" s="8"/>
      <c r="W8" s="9">
        <f>3+2</f>
        <v>5</v>
      </c>
      <c r="X8" s="20">
        <f t="shared" si="1"/>
        <v>31</v>
      </c>
      <c r="Y8" s="22">
        <f t="shared" si="0"/>
        <v>2.8181818181818183</v>
      </c>
      <c r="Z8" s="51"/>
      <c r="AA8" s="25">
        <v>50</v>
      </c>
      <c r="AB8" s="54">
        <v>8482</v>
      </c>
      <c r="AC8" s="45">
        <f>AA8*70</f>
        <v>3500</v>
      </c>
    </row>
    <row r="9" spans="1:29" ht="12.75">
      <c r="A9" s="18" t="s">
        <v>36</v>
      </c>
      <c r="B9" s="10"/>
      <c r="C9" s="11"/>
      <c r="D9" s="7"/>
      <c r="E9" s="8"/>
      <c r="F9" s="8"/>
      <c r="G9" s="8"/>
      <c r="H9" s="8"/>
      <c r="I9" s="8"/>
      <c r="J9" s="8"/>
      <c r="K9" s="8"/>
      <c r="L9" s="9"/>
      <c r="M9" s="7"/>
      <c r="N9" s="8"/>
      <c r="O9" s="16"/>
      <c r="P9" s="9"/>
      <c r="Q9" s="7"/>
      <c r="R9" s="8"/>
      <c r="S9" s="9"/>
      <c r="T9" s="7"/>
      <c r="U9" s="12"/>
      <c r="V9" s="8"/>
      <c r="W9" s="9"/>
      <c r="X9" s="20"/>
      <c r="Y9" s="22"/>
      <c r="Z9" s="51"/>
      <c r="AA9" s="25">
        <v>50</v>
      </c>
      <c r="AB9" s="54">
        <v>8482</v>
      </c>
      <c r="AC9" s="45">
        <f>AA9*70</f>
        <v>3500</v>
      </c>
    </row>
    <row r="10" spans="1:29" ht="12.75">
      <c r="A10" s="18" t="s">
        <v>56</v>
      </c>
      <c r="B10" s="10"/>
      <c r="C10" s="11"/>
      <c r="D10" s="7"/>
      <c r="E10" s="8"/>
      <c r="F10" s="8"/>
      <c r="G10" s="8"/>
      <c r="H10" s="8"/>
      <c r="I10" s="8"/>
      <c r="J10" s="8"/>
      <c r="K10" s="8"/>
      <c r="L10" s="9"/>
      <c r="M10" s="7"/>
      <c r="N10" s="8"/>
      <c r="O10" s="16"/>
      <c r="P10" s="9"/>
      <c r="Q10" s="7"/>
      <c r="R10" s="8"/>
      <c r="S10" s="9"/>
      <c r="T10" s="7"/>
      <c r="U10" s="12"/>
      <c r="V10" s="8"/>
      <c r="W10" s="9"/>
      <c r="X10" s="20"/>
      <c r="Y10" s="22"/>
      <c r="Z10" s="51" t="s">
        <v>59</v>
      </c>
      <c r="AA10" s="25">
        <v>50</v>
      </c>
      <c r="AB10" s="54">
        <v>7161</v>
      </c>
      <c r="AC10" s="45">
        <f>AA10*90</f>
        <v>4500</v>
      </c>
    </row>
    <row r="11" spans="1:29" ht="12.75">
      <c r="A11" s="19" t="s">
        <v>38</v>
      </c>
      <c r="B11" s="7"/>
      <c r="C11" s="12"/>
      <c r="D11" s="7">
        <f>2</f>
        <v>2</v>
      </c>
      <c r="E11" s="8"/>
      <c r="F11" s="8"/>
      <c r="G11" s="8">
        <v>2</v>
      </c>
      <c r="H11" s="13"/>
      <c r="I11" s="8">
        <v>1</v>
      </c>
      <c r="J11" s="8"/>
      <c r="K11" s="8">
        <f>2</f>
        <v>2</v>
      </c>
      <c r="L11" s="9">
        <f>4</f>
        <v>4</v>
      </c>
      <c r="M11" s="7"/>
      <c r="N11" s="8"/>
      <c r="O11" s="16"/>
      <c r="P11" s="9"/>
      <c r="Q11" s="7">
        <f>15</f>
        <v>15</v>
      </c>
      <c r="R11" s="8"/>
      <c r="S11" s="9"/>
      <c r="T11" s="7"/>
      <c r="U11" s="12"/>
      <c r="V11" s="8"/>
      <c r="W11" s="9"/>
      <c r="X11" s="20">
        <f t="shared" si="1"/>
        <v>26</v>
      </c>
      <c r="Y11" s="22">
        <f t="shared" si="0"/>
        <v>2.3636363636363638</v>
      </c>
      <c r="Z11" s="51"/>
      <c r="AA11" s="25">
        <v>20</v>
      </c>
      <c r="AB11" s="54">
        <v>8263</v>
      </c>
      <c r="AC11" s="45">
        <f>AA11*60</f>
        <v>1200</v>
      </c>
    </row>
    <row r="12" spans="1:29" ht="12.75">
      <c r="A12" s="18" t="s">
        <v>39</v>
      </c>
      <c r="B12" s="10">
        <v>20</v>
      </c>
      <c r="C12" s="11">
        <v>27</v>
      </c>
      <c r="D12" s="7">
        <f>4+12+6</f>
        <v>22</v>
      </c>
      <c r="E12" s="8"/>
      <c r="F12" s="8">
        <f>4+4+6+10</f>
        <v>24</v>
      </c>
      <c r="G12" s="8">
        <v>4</v>
      </c>
      <c r="H12" s="8"/>
      <c r="I12" s="8">
        <v>3</v>
      </c>
      <c r="J12" s="8"/>
      <c r="K12" s="8">
        <v>1</v>
      </c>
      <c r="L12" s="9">
        <f>10</f>
        <v>10</v>
      </c>
      <c r="M12" s="7"/>
      <c r="N12" s="8">
        <f>16+6</f>
        <v>22</v>
      </c>
      <c r="O12" s="16"/>
      <c r="P12" s="9"/>
      <c r="Q12" s="7"/>
      <c r="R12" s="8">
        <v>5</v>
      </c>
      <c r="S12" s="9"/>
      <c r="T12" s="7"/>
      <c r="U12" s="12"/>
      <c r="V12" s="8"/>
      <c r="W12" s="9"/>
      <c r="X12" s="20">
        <f t="shared" si="1"/>
        <v>138</v>
      </c>
      <c r="Y12" s="22">
        <f t="shared" si="0"/>
        <v>12.545454545454545</v>
      </c>
      <c r="Z12" s="51"/>
      <c r="AA12" s="25">
        <v>50</v>
      </c>
      <c r="AB12" s="54">
        <v>19</v>
      </c>
      <c r="AC12" s="45">
        <f>AA12*22</f>
        <v>1100</v>
      </c>
    </row>
    <row r="13" spans="1:29" ht="12.75">
      <c r="A13" s="18" t="s">
        <v>40</v>
      </c>
      <c r="B13" s="10"/>
      <c r="C13" s="11"/>
      <c r="D13" s="7"/>
      <c r="E13" s="8">
        <f>12+5</f>
        <v>17</v>
      </c>
      <c r="F13" s="8"/>
      <c r="G13" s="8"/>
      <c r="H13" s="8"/>
      <c r="I13" s="8"/>
      <c r="J13" s="8"/>
      <c r="K13" s="8"/>
      <c r="L13" s="9"/>
      <c r="M13" s="7"/>
      <c r="N13" s="8">
        <v>24</v>
      </c>
      <c r="O13" s="16"/>
      <c r="P13" s="9"/>
      <c r="Q13" s="7"/>
      <c r="R13" s="8">
        <f>3</f>
        <v>3</v>
      </c>
      <c r="S13" s="9"/>
      <c r="T13" s="7">
        <f>1+12</f>
        <v>13</v>
      </c>
      <c r="U13" s="12"/>
      <c r="V13" s="8"/>
      <c r="W13" s="9"/>
      <c r="X13" s="20">
        <f t="shared" si="1"/>
        <v>57</v>
      </c>
      <c r="Y13" s="22">
        <f t="shared" si="0"/>
        <v>5.181818181818182</v>
      </c>
      <c r="Z13" s="51"/>
      <c r="AA13" s="25">
        <v>100</v>
      </c>
      <c r="AB13" s="54">
        <v>6679</v>
      </c>
      <c r="AC13" s="45">
        <f>AA13*7</f>
        <v>700</v>
      </c>
    </row>
    <row r="14" spans="1:29" ht="12.75">
      <c r="A14" s="19" t="s">
        <v>41</v>
      </c>
      <c r="B14" s="7"/>
      <c r="C14" s="12"/>
      <c r="D14" s="7"/>
      <c r="E14" s="8">
        <v>1</v>
      </c>
      <c r="F14" s="8"/>
      <c r="G14" s="8"/>
      <c r="H14" s="8"/>
      <c r="I14" s="8"/>
      <c r="J14" s="8"/>
      <c r="K14" s="8"/>
      <c r="L14" s="9">
        <f>1</f>
        <v>1</v>
      </c>
      <c r="M14" s="7"/>
      <c r="N14" s="8"/>
      <c r="O14" s="16"/>
      <c r="P14" s="9"/>
      <c r="Q14" s="7">
        <f>4+2</f>
        <v>6</v>
      </c>
      <c r="R14" s="8">
        <f>2+10+5</f>
        <v>17</v>
      </c>
      <c r="S14" s="9">
        <f>2+2</f>
        <v>4</v>
      </c>
      <c r="T14" s="7"/>
      <c r="U14" s="12"/>
      <c r="V14" s="8"/>
      <c r="W14" s="9"/>
      <c r="X14" s="20">
        <f t="shared" si="1"/>
        <v>29</v>
      </c>
      <c r="Y14" s="22">
        <f t="shared" si="0"/>
        <v>2.6363636363636362</v>
      </c>
      <c r="Z14" s="51"/>
      <c r="AA14" s="25">
        <v>50</v>
      </c>
      <c r="AB14" s="54">
        <v>8224</v>
      </c>
      <c r="AC14" s="45">
        <f>AA14*29</f>
        <v>1450</v>
      </c>
    </row>
    <row r="15" spans="1:29" ht="12.75">
      <c r="A15" s="18" t="s">
        <v>42</v>
      </c>
      <c r="B15" s="10"/>
      <c r="C15" s="11"/>
      <c r="D15" s="7"/>
      <c r="E15" s="8"/>
      <c r="F15" s="8"/>
      <c r="G15" s="8">
        <v>2</v>
      </c>
      <c r="H15" s="8">
        <v>4</v>
      </c>
      <c r="I15" s="8"/>
      <c r="J15" s="8"/>
      <c r="K15" s="8"/>
      <c r="L15" s="9"/>
      <c r="M15" s="7"/>
      <c r="N15" s="8"/>
      <c r="O15" s="16"/>
      <c r="P15" s="9"/>
      <c r="Q15" s="7"/>
      <c r="R15" s="8"/>
      <c r="S15" s="9"/>
      <c r="T15" s="7"/>
      <c r="U15" s="12"/>
      <c r="V15" s="8"/>
      <c r="W15" s="9"/>
      <c r="X15" s="20">
        <f t="shared" si="1"/>
        <v>6</v>
      </c>
      <c r="Y15" s="22">
        <f t="shared" si="0"/>
        <v>0.5454545454545454</v>
      </c>
      <c r="Z15" s="51"/>
      <c r="AA15" s="25">
        <v>24</v>
      </c>
      <c r="AB15" s="54">
        <v>1307</v>
      </c>
      <c r="AC15" s="45">
        <f>AA15*45</f>
        <v>1080</v>
      </c>
    </row>
    <row r="16" spans="1:29" ht="12.75">
      <c r="A16" s="19" t="s">
        <v>43</v>
      </c>
      <c r="B16" s="7"/>
      <c r="C16" s="12"/>
      <c r="D16" s="7"/>
      <c r="E16" s="8"/>
      <c r="F16" s="8"/>
      <c r="G16" s="8"/>
      <c r="H16" s="8"/>
      <c r="I16" s="8"/>
      <c r="J16" s="8"/>
      <c r="K16" s="8"/>
      <c r="L16" s="9"/>
      <c r="M16" s="7"/>
      <c r="N16" s="8"/>
      <c r="O16" s="16"/>
      <c r="P16" s="9"/>
      <c r="Q16" s="7"/>
      <c r="R16" s="8"/>
      <c r="S16" s="9"/>
      <c r="T16" s="7"/>
      <c r="U16" s="12"/>
      <c r="V16" s="8"/>
      <c r="W16" s="9"/>
      <c r="X16" s="20">
        <f t="shared" si="1"/>
        <v>0</v>
      </c>
      <c r="Y16" s="22">
        <f t="shared" si="0"/>
        <v>0</v>
      </c>
      <c r="Z16" s="51" t="s">
        <v>59</v>
      </c>
      <c r="AA16" s="25">
        <v>24</v>
      </c>
      <c r="AB16" s="54">
        <v>533</v>
      </c>
      <c r="AC16" s="45">
        <f>AA16*50</f>
        <v>1200</v>
      </c>
    </row>
    <row r="17" spans="1:29" ht="12.75">
      <c r="A17" s="19" t="s">
        <v>44</v>
      </c>
      <c r="B17" s="7"/>
      <c r="C17" s="12">
        <f>1+1</f>
        <v>2</v>
      </c>
      <c r="D17" s="7"/>
      <c r="E17" s="8">
        <f>2+2+1</f>
        <v>5</v>
      </c>
      <c r="F17" s="8"/>
      <c r="G17" s="8">
        <v>1</v>
      </c>
      <c r="H17" s="8"/>
      <c r="I17" s="8">
        <f>1+2</f>
        <v>3</v>
      </c>
      <c r="J17" s="8"/>
      <c r="K17" s="8"/>
      <c r="L17" s="9">
        <f>8+2</f>
        <v>10</v>
      </c>
      <c r="M17" s="7">
        <f>5+1</f>
        <v>6</v>
      </c>
      <c r="N17" s="8">
        <f>3</f>
        <v>3</v>
      </c>
      <c r="O17" s="16">
        <f>8</f>
        <v>8</v>
      </c>
      <c r="P17" s="9"/>
      <c r="Q17" s="7">
        <f>6+2</f>
        <v>8</v>
      </c>
      <c r="R17" s="8">
        <v>10</v>
      </c>
      <c r="S17" s="9">
        <f>12+1+5+2</f>
        <v>20</v>
      </c>
      <c r="T17" s="7">
        <f>1+1</f>
        <v>2</v>
      </c>
      <c r="U17" s="12"/>
      <c r="V17" s="8"/>
      <c r="W17" s="9"/>
      <c r="X17" s="20">
        <f t="shared" si="1"/>
        <v>78</v>
      </c>
      <c r="Y17" s="22">
        <f t="shared" si="0"/>
        <v>7.090909090909091</v>
      </c>
      <c r="Z17" s="51"/>
      <c r="AA17" s="25">
        <v>75</v>
      </c>
      <c r="AB17" s="54">
        <v>25286</v>
      </c>
      <c r="AC17" s="45">
        <f>AA17*25</f>
        <v>1875</v>
      </c>
    </row>
    <row r="18" spans="1:29" ht="12.75">
      <c r="A18" s="19" t="s">
        <v>3</v>
      </c>
      <c r="B18" s="7"/>
      <c r="C18" s="12"/>
      <c r="D18" s="7"/>
      <c r="E18" s="8"/>
      <c r="F18" s="8"/>
      <c r="G18" s="8"/>
      <c r="H18" s="8"/>
      <c r="I18" s="8"/>
      <c r="J18" s="8"/>
      <c r="K18" s="8"/>
      <c r="L18" s="9"/>
      <c r="M18" s="7"/>
      <c r="N18" s="8">
        <v>1</v>
      </c>
      <c r="O18" s="16"/>
      <c r="P18" s="9"/>
      <c r="Q18" s="7"/>
      <c r="R18" s="8">
        <v>1</v>
      </c>
      <c r="S18" s="9"/>
      <c r="T18" s="7"/>
      <c r="U18" s="12"/>
      <c r="V18" s="8"/>
      <c r="W18" s="9"/>
      <c r="X18" s="20">
        <f>SUM(B18:W18)</f>
        <v>2</v>
      </c>
      <c r="Y18" s="22">
        <f t="shared" si="0"/>
        <v>0.18181818181818182</v>
      </c>
      <c r="Z18" s="51" t="s">
        <v>59</v>
      </c>
      <c r="AA18" s="25">
        <v>3</v>
      </c>
      <c r="AB18" s="54">
        <v>187</v>
      </c>
      <c r="AC18" s="45">
        <f>AA18*800</f>
        <v>2400</v>
      </c>
    </row>
    <row r="19" spans="1:29" ht="12.75">
      <c r="A19" s="19" t="s">
        <v>45</v>
      </c>
      <c r="B19" s="7"/>
      <c r="C19" s="12"/>
      <c r="D19" s="7"/>
      <c r="E19" s="8"/>
      <c r="F19" s="8"/>
      <c r="G19" s="8"/>
      <c r="H19" s="8"/>
      <c r="I19" s="8">
        <v>1</v>
      </c>
      <c r="J19" s="8"/>
      <c r="K19" s="8"/>
      <c r="L19" s="9"/>
      <c r="M19" s="7">
        <v>1</v>
      </c>
      <c r="N19" s="8">
        <f>1+1</f>
        <v>2</v>
      </c>
      <c r="O19" s="16">
        <f>2</f>
        <v>2</v>
      </c>
      <c r="P19" s="9"/>
      <c r="Q19" s="7"/>
      <c r="R19" s="8">
        <f>10+1</f>
        <v>11</v>
      </c>
      <c r="S19" s="9"/>
      <c r="T19" s="7"/>
      <c r="U19" s="12"/>
      <c r="V19" s="8"/>
      <c r="W19" s="9"/>
      <c r="X19" s="20">
        <f t="shared" si="1"/>
        <v>17</v>
      </c>
      <c r="Y19" s="22">
        <f t="shared" si="0"/>
        <v>1.5454545454545454</v>
      </c>
      <c r="Z19" s="51"/>
      <c r="AA19" s="25">
        <v>30</v>
      </c>
      <c r="AB19" s="54">
        <v>883</v>
      </c>
      <c r="AC19" s="45">
        <f>AA19*35</f>
        <v>1050</v>
      </c>
    </row>
    <row r="20" spans="1:29" ht="12.75">
      <c r="A20" s="18" t="s">
        <v>46</v>
      </c>
      <c r="B20" s="10"/>
      <c r="C20" s="11"/>
      <c r="D20" s="7"/>
      <c r="E20" s="8">
        <v>4</v>
      </c>
      <c r="F20" s="8"/>
      <c r="G20" s="8"/>
      <c r="H20" s="8"/>
      <c r="I20" s="8"/>
      <c r="J20" s="8"/>
      <c r="K20" s="8"/>
      <c r="L20" s="9"/>
      <c r="M20" s="7"/>
      <c r="N20" s="8"/>
      <c r="O20" s="16"/>
      <c r="P20" s="9"/>
      <c r="Q20" s="7"/>
      <c r="R20" s="8"/>
      <c r="S20" s="9"/>
      <c r="T20" s="7"/>
      <c r="U20" s="12"/>
      <c r="V20" s="8"/>
      <c r="W20" s="9"/>
      <c r="X20" s="20">
        <f>SUM(B20:W20)+28</f>
        <v>32</v>
      </c>
      <c r="Y20" s="22">
        <f t="shared" si="0"/>
        <v>2.909090909090909</v>
      </c>
      <c r="Z20" s="51"/>
      <c r="AA20" s="25">
        <v>30</v>
      </c>
      <c r="AB20" s="54">
        <v>29109</v>
      </c>
      <c r="AC20" s="45">
        <f>AA20*50</f>
        <v>1500</v>
      </c>
    </row>
    <row r="21" spans="1:29" ht="12.75">
      <c r="A21" s="19" t="s">
        <v>31</v>
      </c>
      <c r="B21" s="7"/>
      <c r="C21" s="12">
        <f>60+4+2</f>
        <v>66</v>
      </c>
      <c r="D21" s="7">
        <f>2+2+3+4</f>
        <v>11</v>
      </c>
      <c r="E21" s="8">
        <f>5+12+12+50</f>
        <v>79</v>
      </c>
      <c r="F21" s="8">
        <f>2+6</f>
        <v>8</v>
      </c>
      <c r="G21" s="8">
        <f>1+2+6+6</f>
        <v>15</v>
      </c>
      <c r="H21" s="8">
        <f>6+10</f>
        <v>16</v>
      </c>
      <c r="I21" s="8">
        <f>1+2+2+3</f>
        <v>8</v>
      </c>
      <c r="J21" s="8"/>
      <c r="K21" s="8"/>
      <c r="L21" s="9">
        <f>20+15+50+8+8+100+10</f>
        <v>211</v>
      </c>
      <c r="M21" s="7">
        <f>1+6+24+2+4+1+8+5</f>
        <v>51</v>
      </c>
      <c r="N21" s="8">
        <f>20+24+4+4+6+25+12</f>
        <v>95</v>
      </c>
      <c r="O21" s="16">
        <f>12+8+8</f>
        <v>28</v>
      </c>
      <c r="P21" s="9">
        <f>8+1+5</f>
        <v>14</v>
      </c>
      <c r="Q21" s="7"/>
      <c r="R21" s="8">
        <f>10+10+20+12+12+6+15+10+40+10+5+6+15+10+1+6+6+10</f>
        <v>204</v>
      </c>
      <c r="S21" s="9">
        <f>24+15+12+12+50+20+25+20+30+12+6+20+20+12+50</f>
        <v>328</v>
      </c>
      <c r="T21" s="7">
        <f>12+10+10+4+4</f>
        <v>40</v>
      </c>
      <c r="U21" s="12">
        <f>2</f>
        <v>2</v>
      </c>
      <c r="V21" s="8"/>
      <c r="W21" s="9">
        <f>12+6+6+6</f>
        <v>30</v>
      </c>
      <c r="X21" s="20">
        <f t="shared" si="1"/>
        <v>1206</v>
      </c>
      <c r="Y21" s="22">
        <f t="shared" si="0"/>
        <v>109.63636363636364</v>
      </c>
      <c r="Z21" s="51" t="s">
        <v>59</v>
      </c>
      <c r="AA21" s="25">
        <v>750</v>
      </c>
      <c r="AB21" s="54">
        <v>185</v>
      </c>
      <c r="AC21" s="45">
        <f>AA21*4</f>
        <v>3000</v>
      </c>
    </row>
    <row r="22" spans="1:29" ht="12.75">
      <c r="A22" s="19" t="s">
        <v>32</v>
      </c>
      <c r="B22" s="7"/>
      <c r="C22" s="12"/>
      <c r="D22" s="7"/>
      <c r="E22" s="8"/>
      <c r="F22" s="8"/>
      <c r="G22" s="8"/>
      <c r="H22" s="8"/>
      <c r="I22" s="8"/>
      <c r="J22" s="8"/>
      <c r="K22" s="8"/>
      <c r="L22" s="9"/>
      <c r="M22" s="7"/>
      <c r="N22" s="8"/>
      <c r="O22" s="16"/>
      <c r="P22" s="9"/>
      <c r="Q22" s="7"/>
      <c r="R22" s="8"/>
      <c r="S22" s="9"/>
      <c r="T22" s="7"/>
      <c r="U22" s="12"/>
      <c r="V22" s="8"/>
      <c r="W22" s="9"/>
      <c r="X22" s="20">
        <f t="shared" si="1"/>
        <v>0</v>
      </c>
      <c r="Y22" s="22">
        <f t="shared" si="0"/>
        <v>0</v>
      </c>
      <c r="Z22" s="51" t="s">
        <v>59</v>
      </c>
      <c r="AA22" s="25">
        <v>200</v>
      </c>
      <c r="AB22" s="54">
        <v>185</v>
      </c>
      <c r="AC22" s="45">
        <f>AA22*4</f>
        <v>800</v>
      </c>
    </row>
    <row r="23" spans="1:29" ht="12.75">
      <c r="A23" s="19" t="s">
        <v>33</v>
      </c>
      <c r="B23" s="7"/>
      <c r="C23" s="12"/>
      <c r="D23" s="7"/>
      <c r="E23" s="8"/>
      <c r="F23" s="8"/>
      <c r="G23" s="8"/>
      <c r="H23" s="8"/>
      <c r="I23" s="8"/>
      <c r="J23" s="8"/>
      <c r="K23" s="8"/>
      <c r="L23" s="9"/>
      <c r="M23" s="7"/>
      <c r="N23" s="8"/>
      <c r="O23" s="16"/>
      <c r="P23" s="9"/>
      <c r="Q23" s="7"/>
      <c r="R23" s="8"/>
      <c r="S23" s="9"/>
      <c r="T23" s="7"/>
      <c r="U23" s="12"/>
      <c r="V23" s="8"/>
      <c r="W23" s="9"/>
      <c r="X23" s="20">
        <f t="shared" si="1"/>
        <v>0</v>
      </c>
      <c r="Y23" s="22">
        <f t="shared" si="0"/>
        <v>0</v>
      </c>
      <c r="Z23" s="51" t="s">
        <v>59</v>
      </c>
      <c r="AA23" s="25">
        <v>50</v>
      </c>
      <c r="AB23" s="54">
        <v>185</v>
      </c>
      <c r="AC23" s="45">
        <f>AA23*4</f>
        <v>200</v>
      </c>
    </row>
    <row r="24" spans="1:29" ht="12.75">
      <c r="A24" s="19" t="s">
        <v>47</v>
      </c>
      <c r="B24" s="7"/>
      <c r="C24" s="12">
        <v>1</v>
      </c>
      <c r="D24" s="7"/>
      <c r="E24" s="8">
        <f>4+4+12</f>
        <v>20</v>
      </c>
      <c r="F24" s="8"/>
      <c r="G24" s="8">
        <f>6+4</f>
        <v>10</v>
      </c>
      <c r="H24" s="8">
        <v>4</v>
      </c>
      <c r="I24" s="8"/>
      <c r="J24" s="8"/>
      <c r="K24" s="8"/>
      <c r="L24" s="9">
        <f>12+8+8+10+8</f>
        <v>46</v>
      </c>
      <c r="M24" s="7">
        <f>12+2</f>
        <v>14</v>
      </c>
      <c r="N24" s="8">
        <f>12+12+24+24+12+12</f>
        <v>96</v>
      </c>
      <c r="O24" s="16">
        <f>8+8+8+8</f>
        <v>32</v>
      </c>
      <c r="P24" s="9">
        <f>10+6+5+5+5</f>
        <v>31</v>
      </c>
      <c r="Q24" s="7">
        <f>28</f>
        <v>28</v>
      </c>
      <c r="R24" s="8">
        <f>12+12+10+10+12+12</f>
        <v>68</v>
      </c>
      <c r="S24" s="9">
        <f>12+12+2+12+12+12</f>
        <v>62</v>
      </c>
      <c r="T24" s="7">
        <f>2+4+4+4</f>
        <v>14</v>
      </c>
      <c r="U24" s="12">
        <f>1+6</f>
        <v>7</v>
      </c>
      <c r="V24" s="8"/>
      <c r="W24" s="9">
        <f>6+8</f>
        <v>14</v>
      </c>
      <c r="X24" s="20">
        <f t="shared" si="1"/>
        <v>447</v>
      </c>
      <c r="Y24" s="22">
        <f t="shared" si="0"/>
        <v>40.63636363636363</v>
      </c>
      <c r="Z24" s="51" t="s">
        <v>59</v>
      </c>
      <c r="AA24" s="25">
        <v>400</v>
      </c>
      <c r="AB24" s="54">
        <v>197</v>
      </c>
      <c r="AC24" s="45">
        <f>AA24*15</f>
        <v>6000</v>
      </c>
    </row>
    <row r="25" spans="1:29" ht="12.75">
      <c r="A25" s="19" t="s">
        <v>48</v>
      </c>
      <c r="B25" s="7"/>
      <c r="C25" s="12"/>
      <c r="D25" s="7"/>
      <c r="E25" s="8"/>
      <c r="F25" s="8">
        <f>1+10</f>
        <v>11</v>
      </c>
      <c r="G25" s="8"/>
      <c r="H25" s="8"/>
      <c r="I25" s="8">
        <f>1</f>
        <v>1</v>
      </c>
      <c r="J25" s="8"/>
      <c r="K25" s="8"/>
      <c r="L25" s="9"/>
      <c r="M25" s="7"/>
      <c r="N25" s="8"/>
      <c r="O25" s="16"/>
      <c r="P25" s="9"/>
      <c r="Q25" s="7"/>
      <c r="R25" s="8"/>
      <c r="S25" s="9"/>
      <c r="T25" s="7"/>
      <c r="U25" s="12"/>
      <c r="V25" s="8"/>
      <c r="W25" s="9"/>
      <c r="X25" s="20">
        <f t="shared" si="1"/>
        <v>12</v>
      </c>
      <c r="Y25" s="22">
        <f t="shared" si="0"/>
        <v>1.0909090909090908</v>
      </c>
      <c r="Z25" s="51" t="s">
        <v>59</v>
      </c>
      <c r="AA25" s="25">
        <v>30</v>
      </c>
      <c r="AB25" s="54">
        <v>13499</v>
      </c>
      <c r="AC25" s="45">
        <f>AA25*22</f>
        <v>660</v>
      </c>
    </row>
    <row r="26" spans="1:29" ht="12.75">
      <c r="A26" s="19" t="s">
        <v>49</v>
      </c>
      <c r="B26" s="7"/>
      <c r="C26" s="12"/>
      <c r="D26" s="7">
        <v>3</v>
      </c>
      <c r="E26" s="8"/>
      <c r="F26" s="8"/>
      <c r="G26" s="8">
        <f>1</f>
        <v>1</v>
      </c>
      <c r="H26" s="8"/>
      <c r="I26" s="8"/>
      <c r="J26" s="8"/>
      <c r="K26" s="8"/>
      <c r="L26" s="9">
        <f>2+2+2</f>
        <v>6</v>
      </c>
      <c r="M26" s="7">
        <f>1</f>
        <v>1</v>
      </c>
      <c r="N26" s="8">
        <v>2</v>
      </c>
      <c r="O26" s="16"/>
      <c r="P26" s="9"/>
      <c r="Q26" s="7"/>
      <c r="R26" s="8"/>
      <c r="S26" s="9">
        <f>3</f>
        <v>3</v>
      </c>
      <c r="T26" s="7"/>
      <c r="U26" s="12"/>
      <c r="V26" s="8"/>
      <c r="W26" s="9"/>
      <c r="X26" s="20">
        <f t="shared" si="1"/>
        <v>16</v>
      </c>
      <c r="Y26" s="22">
        <f t="shared" si="0"/>
        <v>1.4545454545454546</v>
      </c>
      <c r="Z26" s="51" t="s">
        <v>59</v>
      </c>
      <c r="AA26" s="25">
        <v>50</v>
      </c>
      <c r="AB26" s="54">
        <v>3364</v>
      </c>
      <c r="AC26" s="45">
        <f>AA26*35</f>
        <v>1750</v>
      </c>
    </row>
    <row r="27" spans="1:29" ht="12.75">
      <c r="A27" s="18" t="s">
        <v>50</v>
      </c>
      <c r="B27" s="10"/>
      <c r="C27" s="11"/>
      <c r="D27" s="7"/>
      <c r="E27" s="8"/>
      <c r="F27" s="8"/>
      <c r="G27" s="8">
        <f>6+20</f>
        <v>26</v>
      </c>
      <c r="H27" s="8">
        <v>50</v>
      </c>
      <c r="I27" s="8"/>
      <c r="J27" s="8"/>
      <c r="K27" s="8"/>
      <c r="L27" s="9"/>
      <c r="M27" s="7"/>
      <c r="N27" s="8"/>
      <c r="O27" s="16"/>
      <c r="P27" s="9"/>
      <c r="Q27" s="7"/>
      <c r="R27" s="8"/>
      <c r="S27" s="9">
        <f>5</f>
        <v>5</v>
      </c>
      <c r="T27" s="7"/>
      <c r="U27" s="12"/>
      <c r="V27" s="8"/>
      <c r="W27" s="9"/>
      <c r="X27" s="20">
        <f t="shared" si="1"/>
        <v>81</v>
      </c>
      <c r="Y27" s="22">
        <f aca="true" t="shared" si="2" ref="Y27:Y32">X27/11</f>
        <v>7.363636363636363</v>
      </c>
      <c r="Z27" s="51"/>
      <c r="AA27" s="25">
        <v>100</v>
      </c>
      <c r="AB27" s="54">
        <v>3695</v>
      </c>
      <c r="AC27" s="45">
        <f>AA27*23</f>
        <v>2300</v>
      </c>
    </row>
    <row r="28" spans="1:29" ht="12.75">
      <c r="A28" s="19" t="s">
        <v>51</v>
      </c>
      <c r="B28" s="7"/>
      <c r="C28" s="12"/>
      <c r="D28" s="7"/>
      <c r="E28" s="8">
        <f>7</f>
        <v>7</v>
      </c>
      <c r="F28" s="8"/>
      <c r="G28" s="8">
        <f>10+4</f>
        <v>14</v>
      </c>
      <c r="H28" s="8">
        <f>5</f>
        <v>5</v>
      </c>
      <c r="I28" s="8"/>
      <c r="J28" s="8"/>
      <c r="K28" s="8"/>
      <c r="L28" s="9"/>
      <c r="M28" s="7"/>
      <c r="N28" s="8"/>
      <c r="O28" s="16">
        <f>2</f>
        <v>2</v>
      </c>
      <c r="P28" s="9"/>
      <c r="Q28" s="7"/>
      <c r="R28" s="8"/>
      <c r="S28" s="9"/>
      <c r="T28" s="7"/>
      <c r="U28" s="12"/>
      <c r="V28" s="8"/>
      <c r="W28" s="9"/>
      <c r="X28" s="20">
        <f t="shared" si="1"/>
        <v>28</v>
      </c>
      <c r="Y28" s="22">
        <f t="shared" si="2"/>
        <v>2.5454545454545454</v>
      </c>
      <c r="Z28" s="51"/>
      <c r="AA28" s="25">
        <v>1000</v>
      </c>
      <c r="AB28" s="54">
        <v>25292</v>
      </c>
      <c r="AC28" s="45">
        <f>2*650</f>
        <v>1300</v>
      </c>
    </row>
    <row r="29" spans="1:29" ht="12.75">
      <c r="A29" s="18" t="s">
        <v>52</v>
      </c>
      <c r="B29" s="10"/>
      <c r="C29" s="11"/>
      <c r="D29" s="7">
        <f>12</f>
        <v>12</v>
      </c>
      <c r="E29" s="8"/>
      <c r="F29" s="8"/>
      <c r="G29" s="8"/>
      <c r="H29" s="8"/>
      <c r="I29" s="8">
        <f>12+10</f>
        <v>22</v>
      </c>
      <c r="J29" s="8"/>
      <c r="K29" s="8"/>
      <c r="L29" s="9">
        <f>20+250</f>
        <v>270</v>
      </c>
      <c r="M29" s="7"/>
      <c r="N29" s="8"/>
      <c r="O29" s="16"/>
      <c r="P29" s="9"/>
      <c r="Q29" s="7"/>
      <c r="R29" s="8">
        <f>1+2</f>
        <v>3</v>
      </c>
      <c r="S29" s="9"/>
      <c r="T29" s="7"/>
      <c r="U29" s="12"/>
      <c r="V29" s="8"/>
      <c r="W29" s="9"/>
      <c r="X29" s="20">
        <f t="shared" si="1"/>
        <v>307</v>
      </c>
      <c r="Y29" s="22">
        <f t="shared" si="2"/>
        <v>27.90909090909091</v>
      </c>
      <c r="Z29" s="51"/>
      <c r="AA29" s="25">
        <v>1000</v>
      </c>
      <c r="AB29" s="54">
        <v>25292</v>
      </c>
      <c r="AC29" s="45">
        <f>2*750</f>
        <v>1500</v>
      </c>
    </row>
    <row r="30" spans="1:29" ht="12.75">
      <c r="A30" s="19" t="s">
        <v>53</v>
      </c>
      <c r="B30" s="7"/>
      <c r="C30" s="12"/>
      <c r="D30" s="7"/>
      <c r="E30" s="8"/>
      <c r="F30" s="8">
        <f>40+100+350</f>
        <v>490</v>
      </c>
      <c r="G30" s="8">
        <f>10</f>
        <v>10</v>
      </c>
      <c r="H30" s="8"/>
      <c r="I30" s="8"/>
      <c r="J30" s="8"/>
      <c r="K30" s="8"/>
      <c r="L30" s="9">
        <f>250</f>
        <v>250</v>
      </c>
      <c r="M30" s="7"/>
      <c r="N30" s="8"/>
      <c r="O30" s="16"/>
      <c r="P30" s="9"/>
      <c r="Q30" s="7"/>
      <c r="R30" s="8">
        <f>2+2+1+1+1</f>
        <v>7</v>
      </c>
      <c r="S30" s="9">
        <f>250+160+250+200+250</f>
        <v>1110</v>
      </c>
      <c r="T30" s="7">
        <v>110</v>
      </c>
      <c r="U30" s="12"/>
      <c r="V30" s="8"/>
      <c r="W30" s="9"/>
      <c r="X30" s="20">
        <f t="shared" si="1"/>
        <v>1977</v>
      </c>
      <c r="Y30" s="22">
        <f t="shared" si="2"/>
        <v>179.72727272727272</v>
      </c>
      <c r="Z30" s="51"/>
      <c r="AA30" s="25">
        <v>2500</v>
      </c>
      <c r="AB30" s="54">
        <v>60378</v>
      </c>
      <c r="AC30" s="45">
        <f>10*900</f>
        <v>9000</v>
      </c>
    </row>
    <row r="31" spans="1:29" ht="12.75">
      <c r="A31" s="19" t="s">
        <v>54</v>
      </c>
      <c r="B31" s="7"/>
      <c r="C31" s="12"/>
      <c r="D31" s="7"/>
      <c r="E31" s="8">
        <v>4</v>
      </c>
      <c r="F31" s="8">
        <v>2</v>
      </c>
      <c r="G31" s="8"/>
      <c r="H31" s="13"/>
      <c r="I31" s="8"/>
      <c r="J31" s="8"/>
      <c r="K31" s="8"/>
      <c r="L31" s="9"/>
      <c r="M31" s="7"/>
      <c r="N31" s="8"/>
      <c r="O31" s="16"/>
      <c r="P31" s="9"/>
      <c r="Q31" s="7"/>
      <c r="R31" s="8"/>
      <c r="S31" s="9">
        <f>7+1</f>
        <v>8</v>
      </c>
      <c r="T31" s="7"/>
      <c r="U31" s="12"/>
      <c r="V31" s="8"/>
      <c r="W31" s="9">
        <v>1</v>
      </c>
      <c r="X31" s="20">
        <f t="shared" si="1"/>
        <v>15</v>
      </c>
      <c r="Y31" s="22">
        <f t="shared" si="2"/>
        <v>1.3636363636363635</v>
      </c>
      <c r="Z31" s="51"/>
      <c r="AA31" s="25">
        <v>12</v>
      </c>
      <c r="AB31" s="54">
        <v>46300</v>
      </c>
      <c r="AC31" s="45">
        <f>AA31*50</f>
        <v>600</v>
      </c>
    </row>
    <row r="32" spans="1:29" ht="13.5" thickBot="1">
      <c r="A32" s="35" t="s">
        <v>55</v>
      </c>
      <c r="B32" s="36"/>
      <c r="C32" s="37"/>
      <c r="D32" s="38"/>
      <c r="E32" s="39">
        <v>1</v>
      </c>
      <c r="F32" s="39"/>
      <c r="G32" s="39"/>
      <c r="H32" s="39"/>
      <c r="I32" s="39"/>
      <c r="J32" s="39"/>
      <c r="K32" s="39"/>
      <c r="L32" s="40"/>
      <c r="M32" s="38"/>
      <c r="N32" s="39"/>
      <c r="O32" s="41"/>
      <c r="P32" s="40"/>
      <c r="Q32" s="38"/>
      <c r="R32" s="39">
        <v>2</v>
      </c>
      <c r="S32" s="40">
        <v>2</v>
      </c>
      <c r="T32" s="38"/>
      <c r="U32" s="42"/>
      <c r="V32" s="39"/>
      <c r="W32" s="40"/>
      <c r="X32" s="43">
        <f t="shared" si="1"/>
        <v>5</v>
      </c>
      <c r="Y32" s="23">
        <f t="shared" si="2"/>
        <v>0.45454545454545453</v>
      </c>
      <c r="Z32" s="52" t="s">
        <v>59</v>
      </c>
      <c r="AA32" s="26">
        <v>12</v>
      </c>
      <c r="AB32" s="55">
        <v>279</v>
      </c>
      <c r="AC32" s="46">
        <f>AA32*85</f>
        <v>1020</v>
      </c>
    </row>
    <row r="33" spans="24:29" ht="12.75">
      <c r="X33" s="28"/>
      <c r="AC33" s="44">
        <f>SUM(AC6:AC32)</f>
        <v>61685</v>
      </c>
    </row>
    <row r="34" spans="1:28" ht="28.5" customHeight="1">
      <c r="A34" s="62" t="s">
        <v>62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:29" ht="44.25" customHeight="1">
      <c r="A35" s="56" t="s">
        <v>60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48"/>
    </row>
    <row r="36" spans="1:29" ht="44.25" customHeight="1">
      <c r="A36" s="56" t="s">
        <v>64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48"/>
    </row>
    <row r="37" spans="1:29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9" spans="1:29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3" ht="12.75">
      <c r="A43" s="17"/>
    </row>
  </sheetData>
  <mergeCells count="17">
    <mergeCell ref="AC4:AC5"/>
    <mergeCell ref="A39:AC39"/>
    <mergeCell ref="A2:AC2"/>
    <mergeCell ref="B4:C4"/>
    <mergeCell ref="D4:L4"/>
    <mergeCell ref="M4:P4"/>
    <mergeCell ref="Q4:S4"/>
    <mergeCell ref="T4:W4"/>
    <mergeCell ref="X4:X5"/>
    <mergeCell ref="Y4:Y5"/>
    <mergeCell ref="A35:AB35"/>
    <mergeCell ref="A36:AB36"/>
    <mergeCell ref="AB4:AB5"/>
    <mergeCell ref="AA4:AA5"/>
    <mergeCell ref="Z4:Z5"/>
    <mergeCell ref="A34:AB34"/>
    <mergeCell ref="A4:A5"/>
  </mergeCells>
  <printOptions/>
  <pageMargins left="0.72" right="0.23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lpresa</dc:creator>
  <cp:keywords/>
  <dc:description/>
  <cp:lastModifiedBy>aoyarbide</cp:lastModifiedBy>
  <cp:lastPrinted>2016-12-19T18:23:52Z</cp:lastPrinted>
  <dcterms:created xsi:type="dcterms:W3CDTF">2012-12-17T14:40:39Z</dcterms:created>
  <dcterms:modified xsi:type="dcterms:W3CDTF">2016-12-19T18:24:32Z</dcterms:modified>
  <cp:category/>
  <cp:version/>
  <cp:contentType/>
  <cp:contentStatus/>
</cp:coreProperties>
</file>