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4195618\Documents\Documentos Clau\LEDS\2017 04 07 - Pliego modificado publicado\597-2016  - PLIEGO MODIFICADO\"/>
    </mc:Choice>
  </mc:AlternateContent>
  <bookViews>
    <workbookView xWindow="0" yWindow="0" windowWidth="20490" windowHeight="7620" tabRatio="891" firstSheet="3" activeTab="3"/>
  </bookViews>
  <sheets>
    <sheet name="Comparativo" sheetId="4" state="hidden" r:id="rId1"/>
    <sheet name="Oferta 1" sheetId="1" state="hidden" r:id="rId2"/>
    <sheet name="Oferta 2" sheetId="3" state="hidden" r:id="rId3"/>
    <sheet name="Formulario de cotización" sheetId="10" r:id="rId4"/>
    <sheet name="Datos Cotización 1" sheetId="11" r:id="rId5"/>
    <sheet name="Datos Cotización 2" sheetId="13" r:id="rId6"/>
    <sheet name="Simulador VAN Cotización 1" sheetId="7" r:id="rId7"/>
    <sheet name="Simulador VAN Cotización 2" sheetId="12" r:id="rId8"/>
    <sheet name="Simulación" sheetId="5" state="hidden" r:id="rId9"/>
    <sheet name="Datos luminarias país" sheetId="2" state="hidden" r:id="rId10"/>
    <sheet name="Supuestos Interior" sheetId="8" state="hidden" r:id="rId11"/>
    <sheet name="Hoja1" sheetId="9" state="hidden"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1" l="1"/>
  <c r="C16" i="13"/>
  <c r="N98" i="10"/>
  <c r="E58" i="7"/>
  <c r="E65" i="12"/>
  <c r="E64" i="12"/>
  <c r="E63" i="12"/>
  <c r="E62" i="12"/>
  <c r="E61" i="12"/>
  <c r="E60" i="12"/>
  <c r="E59" i="12"/>
  <c r="D65" i="12"/>
  <c r="D64" i="12"/>
  <c r="D63" i="12"/>
  <c r="D62" i="12"/>
  <c r="D61" i="12"/>
  <c r="D60" i="12"/>
  <c r="D59" i="12"/>
  <c r="D58" i="7"/>
  <c r="B53" i="13"/>
  <c r="B40" i="11"/>
  <c r="B39" i="11"/>
  <c r="F59" i="12" l="1"/>
  <c r="F63" i="12"/>
  <c r="F61" i="12"/>
  <c r="F65" i="12"/>
  <c r="F62" i="12"/>
  <c r="F60" i="12"/>
  <c r="F64" i="12"/>
  <c r="F58" i="7"/>
  <c r="B59" i="12"/>
  <c r="I59" i="10"/>
  <c r="D32" i="13" s="1"/>
  <c r="G32" i="13" s="1"/>
  <c r="G65" i="12" s="1"/>
  <c r="I58" i="10"/>
  <c r="D31" i="13" s="1"/>
  <c r="G31" i="13" s="1"/>
  <c r="G64" i="12" s="1"/>
  <c r="D51" i="13" s="1"/>
  <c r="I57" i="10"/>
  <c r="D30" i="13" s="1"/>
  <c r="G30" i="13" s="1"/>
  <c r="G63" i="12" s="1"/>
  <c r="D50" i="13" s="1"/>
  <c r="I56" i="10"/>
  <c r="D29" i="13" s="1"/>
  <c r="G29" i="13" s="1"/>
  <c r="G62" i="12" s="1"/>
  <c r="D49" i="13" s="1"/>
  <c r="I55" i="10"/>
  <c r="D28" i="13" s="1"/>
  <c r="G28" i="13" s="1"/>
  <c r="G61" i="12" s="1"/>
  <c r="D48" i="13" s="1"/>
  <c r="I54" i="10"/>
  <c r="D27" i="13" s="1"/>
  <c r="G27" i="13" s="1"/>
  <c r="G60" i="12" s="1"/>
  <c r="D47" i="13" s="1"/>
  <c r="I53" i="10"/>
  <c r="D26" i="13" s="1"/>
  <c r="B26" i="13"/>
  <c r="B46" i="13" s="1"/>
  <c r="C32" i="13"/>
  <c r="C31" i="13"/>
  <c r="C30" i="13"/>
  <c r="C29" i="13"/>
  <c r="C28" i="13"/>
  <c r="C27" i="13"/>
  <c r="C26" i="13"/>
  <c r="D52" i="13" l="1"/>
  <c r="H65" i="12"/>
  <c r="E52" i="13" s="1"/>
  <c r="C52" i="13" s="1"/>
  <c r="H63" i="12"/>
  <c r="E50" i="13" s="1"/>
  <c r="C50" i="13" s="1"/>
  <c r="H60" i="12"/>
  <c r="E47" i="13" s="1"/>
  <c r="C47" i="13" s="1"/>
  <c r="H64" i="12"/>
  <c r="E51" i="13" s="1"/>
  <c r="C51" i="13" s="1"/>
  <c r="H61" i="12"/>
  <c r="E48" i="13" s="1"/>
  <c r="C48" i="13" s="1"/>
  <c r="H62" i="12"/>
  <c r="E49" i="13" s="1"/>
  <c r="C49" i="13" s="1"/>
  <c r="C17" i="13"/>
  <c r="C15" i="13"/>
  <c r="G26" i="13"/>
  <c r="G33" i="13" s="1"/>
  <c r="D19" i="12" s="1"/>
  <c r="D58" i="12"/>
  <c r="B58" i="12"/>
  <c r="E6" i="12"/>
  <c r="F6" i="12" s="1"/>
  <c r="I26" i="10"/>
  <c r="D27" i="11" s="1"/>
  <c r="G59" i="12" l="1"/>
  <c r="G6" i="12"/>
  <c r="D57" i="7"/>
  <c r="B58" i="7"/>
  <c r="B57" i="7"/>
  <c r="G27" i="11"/>
  <c r="C27" i="11"/>
  <c r="C17" i="11"/>
  <c r="C15" i="11"/>
  <c r="C20" i="13"/>
  <c r="C21" i="13" s="1"/>
  <c r="I60" i="10"/>
  <c r="B54" i="10"/>
  <c r="H59" i="12" l="1"/>
  <c r="E46" i="13" s="1"/>
  <c r="D46" i="13"/>
  <c r="B55" i="10"/>
  <c r="B60" i="12"/>
  <c r="B27" i="13"/>
  <c r="B47" i="13" s="1"/>
  <c r="G66" i="12"/>
  <c r="D53" i="13" s="1"/>
  <c r="C20" i="11"/>
  <c r="H10" i="12"/>
  <c r="H16" i="12" s="1"/>
  <c r="E10" i="12"/>
  <c r="E16" i="12" s="1"/>
  <c r="E33" i="12" s="1"/>
  <c r="G10" i="12"/>
  <c r="G16" i="12" s="1"/>
  <c r="F10" i="12"/>
  <c r="F16" i="12" s="1"/>
  <c r="F33" i="12" s="1"/>
  <c r="D10" i="12"/>
  <c r="D19" i="7"/>
  <c r="G58" i="7"/>
  <c r="D40" i="11" s="1"/>
  <c r="H6" i="12"/>
  <c r="C46" i="13" l="1"/>
  <c r="C21" i="11"/>
  <c r="D10" i="7" s="1"/>
  <c r="B56" i="10"/>
  <c r="B61" i="12"/>
  <c r="B28" i="13"/>
  <c r="B48" i="13" s="1"/>
  <c r="F73" i="12"/>
  <c r="H58" i="7"/>
  <c r="H66" i="12"/>
  <c r="E53" i="13" s="1"/>
  <c r="F82" i="12"/>
  <c r="E73" i="12"/>
  <c r="D73" i="12"/>
  <c r="D82" i="12"/>
  <c r="D16" i="12"/>
  <c r="D33" i="12" s="1"/>
  <c r="E82" i="12"/>
  <c r="G73" i="12"/>
  <c r="G82" i="12"/>
  <c r="I6" i="12"/>
  <c r="I10" i="12" s="1"/>
  <c r="I16" i="12" s="1"/>
  <c r="C26" i="9"/>
  <c r="C24" i="9"/>
  <c r="E13" i="9"/>
  <c r="G24" i="9"/>
  <c r="F24" i="9"/>
  <c r="E24" i="9"/>
  <c r="D24" i="9"/>
  <c r="C22" i="9"/>
  <c r="I17" i="9"/>
  <c r="H17" i="9"/>
  <c r="G17" i="9"/>
  <c r="E17" i="9"/>
  <c r="E22" i="9" s="1"/>
  <c r="D17" i="9"/>
  <c r="F17" i="9"/>
  <c r="F22" i="9" s="1"/>
  <c r="D22" i="9"/>
  <c r="I19" i="9"/>
  <c r="H19" i="9"/>
  <c r="G19" i="9"/>
  <c r="E19" i="9"/>
  <c r="D19" i="9"/>
  <c r="F15" i="9"/>
  <c r="G15" i="9" s="1"/>
  <c r="H15" i="9" s="1"/>
  <c r="I15" i="9" s="1"/>
  <c r="E15" i="9"/>
  <c r="I16" i="9"/>
  <c r="H16" i="9"/>
  <c r="G16" i="9"/>
  <c r="F16" i="9"/>
  <c r="E16" i="9"/>
  <c r="D16" i="9"/>
  <c r="D13" i="9"/>
  <c r="D10" i="9"/>
  <c r="D17" i="12" l="1"/>
  <c r="D21" i="12" s="1"/>
  <c r="D64" i="7"/>
  <c r="D74" i="7"/>
  <c r="D16" i="7"/>
  <c r="D33" i="7" s="1"/>
  <c r="D36" i="7"/>
  <c r="E40" i="11"/>
  <c r="C40" i="11" s="1"/>
  <c r="B57" i="10"/>
  <c r="B62" i="12"/>
  <c r="B29" i="13"/>
  <c r="B49" i="13" s="1"/>
  <c r="F17" i="12"/>
  <c r="D36" i="12"/>
  <c r="I17" i="12"/>
  <c r="E17" i="12"/>
  <c r="H17" i="12"/>
  <c r="G17" i="12"/>
  <c r="G33" i="12"/>
  <c r="J6" i="12"/>
  <c r="J10" i="12" s="1"/>
  <c r="J16" i="12" s="1"/>
  <c r="J17" i="12" s="1"/>
  <c r="H73" i="12"/>
  <c r="H82" i="12"/>
  <c r="F19" i="9"/>
  <c r="K12" i="8"/>
  <c r="K20" i="8"/>
  <c r="K19" i="8"/>
  <c r="K18" i="8"/>
  <c r="K17" i="8"/>
  <c r="K16" i="8"/>
  <c r="K15" i="8"/>
  <c r="K14" i="8"/>
  <c r="K13" i="8"/>
  <c r="K11" i="8"/>
  <c r="K10" i="8"/>
  <c r="K9" i="8"/>
  <c r="K8" i="8"/>
  <c r="K7" i="8"/>
  <c r="K6" i="8"/>
  <c r="K5" i="8"/>
  <c r="K4" i="8"/>
  <c r="K3" i="8"/>
  <c r="K2" i="8"/>
  <c r="H37" i="8"/>
  <c r="E6" i="7"/>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21" i="8"/>
  <c r="F20" i="8"/>
  <c r="F19" i="8"/>
  <c r="L19" i="8" s="1"/>
  <c r="F18" i="8"/>
  <c r="L18" i="8" s="1"/>
  <c r="F17" i="8"/>
  <c r="F16" i="8"/>
  <c r="F15" i="8"/>
  <c r="L15" i="8" s="1"/>
  <c r="F14" i="8"/>
  <c r="F13" i="8"/>
  <c r="F12" i="8"/>
  <c r="F11" i="8"/>
  <c r="L11" i="8" s="1"/>
  <c r="F10" i="8"/>
  <c r="L10" i="8" s="1"/>
  <c r="F9" i="8"/>
  <c r="F8" i="8"/>
  <c r="F7" i="8"/>
  <c r="L7" i="8" s="1"/>
  <c r="F6" i="8"/>
  <c r="F5" i="8"/>
  <c r="F4" i="8"/>
  <c r="F3" i="8"/>
  <c r="L3" i="8" s="1"/>
  <c r="F2" i="8"/>
  <c r="L2" i="8" s="1"/>
  <c r="A22" i="8"/>
  <c r="A41" i="8" s="1"/>
  <c r="A60" i="8" s="1"/>
  <c r="H60" i="8" s="1"/>
  <c r="A23" i="8"/>
  <c r="A24" i="8"/>
  <c r="H24" i="8" s="1"/>
  <c r="A25" i="8"/>
  <c r="C25" i="8" s="1"/>
  <c r="A26" i="8"/>
  <c r="A45" i="8" s="1"/>
  <c r="A64" i="8" s="1"/>
  <c r="H64" i="8" s="1"/>
  <c r="A27" i="8"/>
  <c r="A28" i="8"/>
  <c r="H28" i="8" s="1"/>
  <c r="A29" i="8"/>
  <c r="C29" i="8" s="1"/>
  <c r="A30" i="8"/>
  <c r="A49" i="8" s="1"/>
  <c r="A68" i="8" s="1"/>
  <c r="H68" i="8" s="1"/>
  <c r="A31" i="8"/>
  <c r="A32" i="8"/>
  <c r="H32" i="8" s="1"/>
  <c r="A33" i="8"/>
  <c r="C33" i="8" s="1"/>
  <c r="A34" i="8"/>
  <c r="A53" i="8" s="1"/>
  <c r="A72" i="8" s="1"/>
  <c r="H72" i="8" s="1"/>
  <c r="A35" i="8"/>
  <c r="A36" i="8"/>
  <c r="H36" i="8" s="1"/>
  <c r="A37" i="8"/>
  <c r="C37" i="8" s="1"/>
  <c r="A38" i="8"/>
  <c r="A57" i="8" s="1"/>
  <c r="A76" i="8" s="1"/>
  <c r="H76" i="8" s="1"/>
  <c r="A39" i="8"/>
  <c r="A21" i="8"/>
  <c r="C21" i="8" s="1"/>
  <c r="C30" i="8"/>
  <c r="C20" i="8"/>
  <c r="C19" i="8"/>
  <c r="C18" i="8"/>
  <c r="C17" i="8"/>
  <c r="C16" i="8"/>
  <c r="C15" i="8"/>
  <c r="C14" i="8"/>
  <c r="C13" i="8"/>
  <c r="C12" i="8"/>
  <c r="C11" i="8"/>
  <c r="C10" i="8"/>
  <c r="C9" i="8"/>
  <c r="C8" i="8"/>
  <c r="C7" i="8"/>
  <c r="C6" i="8"/>
  <c r="C5" i="8"/>
  <c r="C4" i="8"/>
  <c r="C3" i="8"/>
  <c r="C2" i="8"/>
  <c r="D12" i="5"/>
  <c r="C47" i="2"/>
  <c r="D34" i="12" l="1"/>
  <c r="F21" i="12"/>
  <c r="D17" i="7"/>
  <c r="D34" i="7" s="1"/>
  <c r="D38" i="7" s="1"/>
  <c r="F34" i="12"/>
  <c r="B58" i="10"/>
  <c r="B63" i="12"/>
  <c r="B30" i="13"/>
  <c r="B50" i="13" s="1"/>
  <c r="D38" i="12"/>
  <c r="E34" i="12"/>
  <c r="E38" i="12" s="1"/>
  <c r="E21" i="12"/>
  <c r="K6" i="12"/>
  <c r="K10" i="12" s="1"/>
  <c r="H33" i="12"/>
  <c r="I82" i="12"/>
  <c r="I73" i="12"/>
  <c r="G21" i="12"/>
  <c r="G34" i="12"/>
  <c r="G38" i="12" s="1"/>
  <c r="F6" i="7"/>
  <c r="E10" i="7"/>
  <c r="C24" i="8"/>
  <c r="L6" i="8"/>
  <c r="L14" i="8"/>
  <c r="G36" i="8"/>
  <c r="D36" i="8" s="1"/>
  <c r="I36" i="8" s="1"/>
  <c r="K36" i="8" s="1"/>
  <c r="C28" i="8"/>
  <c r="H29" i="8"/>
  <c r="H53" i="8"/>
  <c r="C38" i="8"/>
  <c r="H21" i="8"/>
  <c r="H45" i="8"/>
  <c r="H33" i="8"/>
  <c r="H25" i="8"/>
  <c r="H49" i="8"/>
  <c r="H57" i="8"/>
  <c r="H41" i="8"/>
  <c r="E36" i="8"/>
  <c r="G23" i="8"/>
  <c r="D23" i="8" s="1"/>
  <c r="A58" i="8"/>
  <c r="C58" i="8" s="1"/>
  <c r="H39" i="8"/>
  <c r="C39" i="8"/>
  <c r="G39" i="8"/>
  <c r="H35" i="8"/>
  <c r="A50" i="8"/>
  <c r="H31" i="8"/>
  <c r="C31" i="8"/>
  <c r="C27" i="8"/>
  <c r="H27" i="8"/>
  <c r="A46" i="8"/>
  <c r="A42" i="8"/>
  <c r="C42" i="8" s="1"/>
  <c r="H23" i="8"/>
  <c r="G27" i="8"/>
  <c r="D27" i="8" s="1"/>
  <c r="C23" i="8"/>
  <c r="C35" i="8"/>
  <c r="A54" i="8"/>
  <c r="C54" i="8" s="1"/>
  <c r="G31" i="8"/>
  <c r="G35" i="8"/>
  <c r="L13" i="8"/>
  <c r="L5" i="8"/>
  <c r="G24" i="8"/>
  <c r="D24" i="8" s="1"/>
  <c r="I24" i="8" s="1"/>
  <c r="K24" i="8" s="1"/>
  <c r="G32" i="8"/>
  <c r="E32" i="8" s="1"/>
  <c r="C26" i="8"/>
  <c r="L16" i="8"/>
  <c r="L12" i="8"/>
  <c r="L8" i="8"/>
  <c r="L4" i="8"/>
  <c r="G21" i="8"/>
  <c r="G25" i="8"/>
  <c r="G29" i="8"/>
  <c r="G33" i="8"/>
  <c r="G37" i="8"/>
  <c r="L17" i="8"/>
  <c r="L9" i="8"/>
  <c r="G28" i="8"/>
  <c r="D28" i="8" s="1"/>
  <c r="I28" i="8" s="1"/>
  <c r="K28" i="8" s="1"/>
  <c r="C22" i="8"/>
  <c r="C34" i="8"/>
  <c r="G22" i="8"/>
  <c r="D22" i="8" s="1"/>
  <c r="G26" i="8"/>
  <c r="D26" i="8" s="1"/>
  <c r="G30" i="8"/>
  <c r="G34" i="8"/>
  <c r="D34" i="8" s="1"/>
  <c r="I34" i="8" s="1"/>
  <c r="K34" i="8" s="1"/>
  <c r="G38" i="8"/>
  <c r="D38" i="8" s="1"/>
  <c r="H38" i="8"/>
  <c r="H34" i="8"/>
  <c r="H30" i="8"/>
  <c r="H26" i="8"/>
  <c r="H22" i="8"/>
  <c r="L20" i="8"/>
  <c r="C76" i="8"/>
  <c r="A95" i="8"/>
  <c r="H95" i="8" s="1"/>
  <c r="C72" i="8"/>
  <c r="A91" i="8"/>
  <c r="H91" i="8" s="1"/>
  <c r="C68" i="8"/>
  <c r="A87" i="8"/>
  <c r="H87" i="8" s="1"/>
  <c r="C64" i="8"/>
  <c r="A83" i="8"/>
  <c r="H83" i="8" s="1"/>
  <c r="C60" i="8"/>
  <c r="A79" i="8"/>
  <c r="H79" i="8" s="1"/>
  <c r="A43" i="8"/>
  <c r="A47" i="8"/>
  <c r="C47" i="8" s="1"/>
  <c r="A51" i="8"/>
  <c r="C51" i="8" s="1"/>
  <c r="A55" i="8"/>
  <c r="C36" i="8"/>
  <c r="A40" i="8"/>
  <c r="A44" i="8"/>
  <c r="C44" i="8" s="1"/>
  <c r="A48" i="8"/>
  <c r="C48" i="8" s="1"/>
  <c r="A52" i="8"/>
  <c r="A56" i="8"/>
  <c r="C56" i="8" s="1"/>
  <c r="C32" i="8"/>
  <c r="C40" i="8"/>
  <c r="C41" i="8"/>
  <c r="C45" i="8"/>
  <c r="C46" i="8"/>
  <c r="C49" i="8"/>
  <c r="C50" i="8"/>
  <c r="C53" i="8"/>
  <c r="C57" i="8"/>
  <c r="F38" i="12" l="1"/>
  <c r="D21" i="7"/>
  <c r="B59" i="10"/>
  <c r="B64" i="12"/>
  <c r="B31" i="13"/>
  <c r="B51" i="13" s="1"/>
  <c r="K16" i="12"/>
  <c r="E64" i="7"/>
  <c r="E74" i="7"/>
  <c r="J82" i="12"/>
  <c r="J73" i="12"/>
  <c r="H34" i="12"/>
  <c r="H38" i="12" s="1"/>
  <c r="H21" i="12"/>
  <c r="I33" i="12"/>
  <c r="L6" i="12"/>
  <c r="L10" i="12" s="1"/>
  <c r="L16" i="12" s="1"/>
  <c r="E16" i="7"/>
  <c r="G6" i="7"/>
  <c r="F10" i="7"/>
  <c r="I23" i="8"/>
  <c r="K23" i="8" s="1"/>
  <c r="I27" i="8"/>
  <c r="K27" i="8" s="1"/>
  <c r="I38" i="8"/>
  <c r="K38" i="8" s="1"/>
  <c r="I22" i="8"/>
  <c r="K22" i="8" s="1"/>
  <c r="E51" i="8"/>
  <c r="I26" i="8"/>
  <c r="K26" i="8" s="1"/>
  <c r="E23" i="8"/>
  <c r="D42" i="8" s="1"/>
  <c r="I42" i="8" s="1"/>
  <c r="K42" i="8" s="1"/>
  <c r="E39" i="8"/>
  <c r="E30" i="8"/>
  <c r="D37" i="8"/>
  <c r="I37" i="8" s="1"/>
  <c r="K37" i="8" s="1"/>
  <c r="E37" i="8"/>
  <c r="E56" i="8" s="1"/>
  <c r="A74" i="8"/>
  <c r="H55" i="8"/>
  <c r="E26" i="8"/>
  <c r="D33" i="8"/>
  <c r="I33" i="8" s="1"/>
  <c r="K33" i="8" s="1"/>
  <c r="E33" i="8"/>
  <c r="E52" i="8" s="1"/>
  <c r="E71" i="8" s="1"/>
  <c r="E21" i="8"/>
  <c r="E40" i="8" s="1"/>
  <c r="A73" i="8"/>
  <c r="H54" i="8"/>
  <c r="D31" i="8"/>
  <c r="I31" i="8" s="1"/>
  <c r="K31" i="8" s="1"/>
  <c r="D35" i="8"/>
  <c r="I35" i="8" s="1"/>
  <c r="K35" i="8" s="1"/>
  <c r="E24" i="8"/>
  <c r="E43" i="8" s="1"/>
  <c r="A63" i="8"/>
  <c r="H63" i="8" s="1"/>
  <c r="H44" i="8"/>
  <c r="A70" i="8"/>
  <c r="H51" i="8"/>
  <c r="D55" i="8"/>
  <c r="I55" i="8" s="1"/>
  <c r="K55" i="8" s="1"/>
  <c r="D30" i="8"/>
  <c r="I30" i="8" s="1"/>
  <c r="K30" i="8" s="1"/>
  <c r="E38" i="8"/>
  <c r="D57" i="8" s="1"/>
  <c r="I57" i="8" s="1"/>
  <c r="K57" i="8" s="1"/>
  <c r="E22" i="8"/>
  <c r="E41" i="8" s="1"/>
  <c r="E60" i="8" s="1"/>
  <c r="D29" i="8"/>
  <c r="I29" i="8" s="1"/>
  <c r="K29" i="8" s="1"/>
  <c r="E29" i="8"/>
  <c r="E48" i="8" s="1"/>
  <c r="D21" i="8"/>
  <c r="I21" i="8" s="1"/>
  <c r="K21" i="8" s="1"/>
  <c r="A65" i="8"/>
  <c r="H46" i="8"/>
  <c r="E27" i="8"/>
  <c r="D46" i="8" s="1"/>
  <c r="A69" i="8"/>
  <c r="H50" i="8"/>
  <c r="E35" i="8"/>
  <c r="D39" i="8"/>
  <c r="I39" i="8" s="1"/>
  <c r="K39" i="8" s="1"/>
  <c r="A71" i="8"/>
  <c r="H71" i="8" s="1"/>
  <c r="H52" i="8"/>
  <c r="A62" i="8"/>
  <c r="H43" i="8"/>
  <c r="A61" i="8"/>
  <c r="H42" i="8"/>
  <c r="C43" i="8"/>
  <c r="A67" i="8"/>
  <c r="H67" i="8" s="1"/>
  <c r="H48" i="8"/>
  <c r="A75" i="8"/>
  <c r="H75" i="8" s="1"/>
  <c r="H56" i="8"/>
  <c r="A59" i="8"/>
  <c r="H59" i="8" s="1"/>
  <c r="H40" i="8"/>
  <c r="A66" i="8"/>
  <c r="H47" i="8"/>
  <c r="E34" i="8"/>
  <c r="E53" i="8" s="1"/>
  <c r="D25" i="8"/>
  <c r="I25" i="8" s="1"/>
  <c r="K25" i="8" s="1"/>
  <c r="E25" i="8"/>
  <c r="E44" i="8" s="1"/>
  <c r="D32" i="8"/>
  <c r="E28" i="8"/>
  <c r="D47" i="8" s="1"/>
  <c r="I47" i="8" s="1"/>
  <c r="K47" i="8" s="1"/>
  <c r="E31" i="8"/>
  <c r="A77" i="8"/>
  <c r="H58" i="8"/>
  <c r="E55" i="8"/>
  <c r="C71" i="8"/>
  <c r="A90" i="8"/>
  <c r="H90" i="8" s="1"/>
  <c r="C67" i="8"/>
  <c r="C79" i="8"/>
  <c r="A98" i="8"/>
  <c r="C87" i="8"/>
  <c r="A106" i="8"/>
  <c r="C95" i="8"/>
  <c r="A114" i="8"/>
  <c r="C55" i="8"/>
  <c r="A82" i="8"/>
  <c r="H82" i="8" s="1"/>
  <c r="C52" i="8"/>
  <c r="C59" i="8"/>
  <c r="C83" i="8"/>
  <c r="A102" i="8"/>
  <c r="C91" i="8"/>
  <c r="A110" i="8"/>
  <c r="E59" i="5"/>
  <c r="G49" i="5"/>
  <c r="H49" i="5" s="1"/>
  <c r="I49" i="5" s="1"/>
  <c r="J49" i="5" s="1"/>
  <c r="K49" i="5" s="1"/>
  <c r="L49" i="5" s="1"/>
  <c r="M49" i="5" s="1"/>
  <c r="N49" i="5" s="1"/>
  <c r="O49" i="5" s="1"/>
  <c r="P49" i="5" s="1"/>
  <c r="Q49" i="5" s="1"/>
  <c r="R49" i="5" s="1"/>
  <c r="S49" i="5" s="1"/>
  <c r="T49" i="5" s="1"/>
  <c r="D43" i="5"/>
  <c r="D31" i="5"/>
  <c r="D33" i="5" s="1"/>
  <c r="E27" i="5"/>
  <c r="G17" i="5"/>
  <c r="B65" i="12" l="1"/>
  <c r="B32" i="13"/>
  <c r="B52" i="13" s="1"/>
  <c r="L17" i="12"/>
  <c r="K17" i="12"/>
  <c r="F64" i="7"/>
  <c r="F74" i="7"/>
  <c r="E17" i="7"/>
  <c r="E33" i="7"/>
  <c r="J33" i="12"/>
  <c r="K73" i="12"/>
  <c r="K82" i="12"/>
  <c r="M6" i="12"/>
  <c r="M10" i="12" s="1"/>
  <c r="M16" i="12" s="1"/>
  <c r="M17" i="12" s="1"/>
  <c r="I34" i="12"/>
  <c r="I38" i="12" s="1"/>
  <c r="I21" i="12"/>
  <c r="F16" i="7"/>
  <c r="H6" i="7"/>
  <c r="G10" i="7"/>
  <c r="E42" i="8"/>
  <c r="E61" i="8" s="1"/>
  <c r="D41" i="8"/>
  <c r="D60" i="8" s="1"/>
  <c r="E72" i="8"/>
  <c r="A94" i="8"/>
  <c r="H94" i="8" s="1"/>
  <c r="D58" i="8"/>
  <c r="I58" i="8" s="1"/>
  <c r="K58" i="8" s="1"/>
  <c r="E58" i="8"/>
  <c r="C63" i="8"/>
  <c r="C75" i="8"/>
  <c r="A86" i="8"/>
  <c r="H86" i="8" s="1"/>
  <c r="E63" i="8"/>
  <c r="A78" i="8"/>
  <c r="H78" i="8" s="1"/>
  <c r="I46" i="8"/>
  <c r="K46" i="8" s="1"/>
  <c r="E57" i="8"/>
  <c r="F39" i="8"/>
  <c r="L39" i="8" s="1"/>
  <c r="D50" i="8"/>
  <c r="I50" i="8" s="1"/>
  <c r="K50" i="8" s="1"/>
  <c r="D51" i="8"/>
  <c r="I32" i="8"/>
  <c r="K32" i="8" s="1"/>
  <c r="D40" i="8"/>
  <c r="E47" i="8"/>
  <c r="D66" i="8" s="1"/>
  <c r="I66" i="8" s="1"/>
  <c r="K66" i="8" s="1"/>
  <c r="D54" i="8"/>
  <c r="I54" i="8" s="1"/>
  <c r="K54" i="8" s="1"/>
  <c r="D74" i="8"/>
  <c r="D44" i="8"/>
  <c r="A85" i="8"/>
  <c r="H66" i="8"/>
  <c r="C66" i="8"/>
  <c r="E46" i="8"/>
  <c r="E65" i="8" s="1"/>
  <c r="E76" i="8"/>
  <c r="E79" i="8"/>
  <c r="A89" i="8"/>
  <c r="H70" i="8"/>
  <c r="C70" i="8"/>
  <c r="D52" i="8"/>
  <c r="E75" i="8"/>
  <c r="D43" i="8"/>
  <c r="C102" i="8"/>
  <c r="H102" i="8"/>
  <c r="A81" i="8"/>
  <c r="H62" i="8"/>
  <c r="C62" i="8"/>
  <c r="E62" i="8"/>
  <c r="E54" i="8"/>
  <c r="E73" i="8" s="1"/>
  <c r="D49" i="8"/>
  <c r="E49" i="8"/>
  <c r="E68" i="8" s="1"/>
  <c r="C106" i="8"/>
  <c r="H106" i="8"/>
  <c r="C110" i="8"/>
  <c r="H110" i="8"/>
  <c r="E74" i="8"/>
  <c r="A80" i="8"/>
  <c r="H61" i="8"/>
  <c r="D61" i="8"/>
  <c r="I61" i="8" s="1"/>
  <c r="K61" i="8" s="1"/>
  <c r="C61" i="8"/>
  <c r="E50" i="8"/>
  <c r="E67" i="8"/>
  <c r="A92" i="8"/>
  <c r="H73" i="8"/>
  <c r="C73" i="8"/>
  <c r="D56" i="8"/>
  <c r="D76" i="8"/>
  <c r="A93" i="8"/>
  <c r="H74" i="8"/>
  <c r="C74" i="8"/>
  <c r="A96" i="8"/>
  <c r="H77" i="8"/>
  <c r="C77" i="8"/>
  <c r="C114" i="8"/>
  <c r="H114" i="8"/>
  <c r="C98" i="8"/>
  <c r="H98" i="8"/>
  <c r="D53" i="8"/>
  <c r="A88" i="8"/>
  <c r="H69" i="8"/>
  <c r="C69" i="8"/>
  <c r="A84" i="8"/>
  <c r="H65" i="8"/>
  <c r="C65" i="8"/>
  <c r="D48" i="8"/>
  <c r="E59" i="8"/>
  <c r="E78" i="8" s="1"/>
  <c r="D45" i="8"/>
  <c r="I45" i="8" s="1"/>
  <c r="K45" i="8" s="1"/>
  <c r="E45" i="8"/>
  <c r="E64" i="8" s="1"/>
  <c r="E70" i="8"/>
  <c r="F27" i="8"/>
  <c r="L27" i="8" s="1"/>
  <c r="A109" i="8"/>
  <c r="C90" i="8"/>
  <c r="C78" i="8"/>
  <c r="A97" i="8"/>
  <c r="C94" i="8"/>
  <c r="A113" i="8"/>
  <c r="C82" i="8"/>
  <c r="A101" i="8"/>
  <c r="H17" i="5"/>
  <c r="E27" i="3"/>
  <c r="E59" i="3"/>
  <c r="E59" i="1"/>
  <c r="E27" i="1"/>
  <c r="G49" i="3"/>
  <c r="H49" i="3" s="1"/>
  <c r="I49" i="3" s="1"/>
  <c r="J49" i="3" s="1"/>
  <c r="K49" i="3" s="1"/>
  <c r="L49" i="3" s="1"/>
  <c r="M49" i="3" s="1"/>
  <c r="N49" i="3" s="1"/>
  <c r="O49" i="3" s="1"/>
  <c r="P49" i="3" s="1"/>
  <c r="Q49" i="3" s="1"/>
  <c r="R49" i="3" s="1"/>
  <c r="S49" i="3" s="1"/>
  <c r="T49" i="3" s="1"/>
  <c r="D43" i="3"/>
  <c r="D31" i="3"/>
  <c r="D33" i="3" s="1"/>
  <c r="G17" i="3"/>
  <c r="G49" i="1"/>
  <c r="H49" i="1" s="1"/>
  <c r="I49" i="1" s="1"/>
  <c r="J49" i="1" s="1"/>
  <c r="K49" i="1" s="1"/>
  <c r="L49" i="1" s="1"/>
  <c r="M49" i="1" s="1"/>
  <c r="N49" i="1" s="1"/>
  <c r="O49" i="1" s="1"/>
  <c r="P49" i="1" s="1"/>
  <c r="Q49" i="1" s="1"/>
  <c r="R49" i="1" s="1"/>
  <c r="S49" i="1" s="1"/>
  <c r="T49" i="1" s="1"/>
  <c r="C70" i="2"/>
  <c r="C72" i="2" s="1"/>
  <c r="C68" i="2"/>
  <c r="C63" i="2"/>
  <c r="C61" i="2"/>
  <c r="C59" i="2"/>
  <c r="D31" i="1"/>
  <c r="D33" i="1" s="1"/>
  <c r="D43" i="1"/>
  <c r="C51" i="2"/>
  <c r="G19" i="5" s="1"/>
  <c r="C37" i="2"/>
  <c r="C39" i="2" s="1"/>
  <c r="C45" i="2" s="1"/>
  <c r="C41" i="2"/>
  <c r="C33" i="2"/>
  <c r="G17" i="1"/>
  <c r="H17" i="1" s="1"/>
  <c r="I17" i="1" s="1"/>
  <c r="J17" i="1" s="1"/>
  <c r="K17" i="1" s="1"/>
  <c r="L17" i="1" s="1"/>
  <c r="M17" i="1" s="1"/>
  <c r="N17" i="1" s="1"/>
  <c r="O17" i="1" s="1"/>
  <c r="P17" i="1" s="1"/>
  <c r="Q17" i="1" s="1"/>
  <c r="R17" i="1" s="1"/>
  <c r="S17" i="1" s="1"/>
  <c r="S23" i="1" s="1"/>
  <c r="S55" i="1" s="1"/>
  <c r="G74" i="7" l="1"/>
  <c r="G64" i="7"/>
  <c r="F17" i="7"/>
  <c r="F33" i="7"/>
  <c r="E21" i="7"/>
  <c r="E34" i="7"/>
  <c r="E38" i="7" s="1"/>
  <c r="N6" i="12"/>
  <c r="N10" i="12" s="1"/>
  <c r="N16" i="12" s="1"/>
  <c r="N17" i="12" s="1"/>
  <c r="J21" i="12"/>
  <c r="J34" i="12"/>
  <c r="J38" i="12" s="1"/>
  <c r="K33" i="12"/>
  <c r="K21" i="12"/>
  <c r="K34" i="12"/>
  <c r="L73" i="12"/>
  <c r="L82" i="12"/>
  <c r="G16" i="7"/>
  <c r="I6" i="7"/>
  <c r="H10" i="7"/>
  <c r="I41" i="8"/>
  <c r="K41" i="8" s="1"/>
  <c r="D69" i="8"/>
  <c r="I69" i="8" s="1"/>
  <c r="K69" i="8" s="1"/>
  <c r="D77" i="8"/>
  <c r="I77" i="8" s="1"/>
  <c r="K77" i="8" s="1"/>
  <c r="E77" i="8"/>
  <c r="F58" i="8"/>
  <c r="L58" i="8" s="1"/>
  <c r="E90" i="8"/>
  <c r="C86" i="8"/>
  <c r="E94" i="8"/>
  <c r="I74" i="8"/>
  <c r="K74" i="8" s="1"/>
  <c r="A105" i="8"/>
  <c r="E91" i="8"/>
  <c r="E69" i="8"/>
  <c r="E88" i="8" s="1"/>
  <c r="E66" i="8"/>
  <c r="E85" i="8" s="1"/>
  <c r="D72" i="8"/>
  <c r="I53" i="8"/>
  <c r="K53" i="8" s="1"/>
  <c r="D75" i="8"/>
  <c r="I75" i="8" s="1"/>
  <c r="K75" i="8" s="1"/>
  <c r="I56" i="8"/>
  <c r="K56" i="8" s="1"/>
  <c r="D70" i="8"/>
  <c r="I70" i="8" s="1"/>
  <c r="K70" i="8" s="1"/>
  <c r="I51" i="8"/>
  <c r="K51" i="8" s="1"/>
  <c r="D95" i="8"/>
  <c r="I95" i="8" s="1"/>
  <c r="K95" i="8" s="1"/>
  <c r="I76" i="8"/>
  <c r="K76" i="8" s="1"/>
  <c r="D67" i="8"/>
  <c r="I67" i="8" s="1"/>
  <c r="K67" i="8" s="1"/>
  <c r="I48" i="8"/>
  <c r="K48" i="8" s="1"/>
  <c r="D63" i="8"/>
  <c r="I63" i="8" s="1"/>
  <c r="K63" i="8" s="1"/>
  <c r="I44" i="8"/>
  <c r="K44" i="8" s="1"/>
  <c r="D68" i="8"/>
  <c r="I49" i="8"/>
  <c r="K49" i="8" s="1"/>
  <c r="D62" i="8"/>
  <c r="I62" i="8" s="1"/>
  <c r="K62" i="8" s="1"/>
  <c r="I43" i="8"/>
  <c r="K43" i="8" s="1"/>
  <c r="D71" i="8"/>
  <c r="I71" i="8" s="1"/>
  <c r="K71" i="8" s="1"/>
  <c r="I52" i="8"/>
  <c r="K52" i="8" s="1"/>
  <c r="D59" i="8"/>
  <c r="I59" i="8" s="1"/>
  <c r="K59" i="8" s="1"/>
  <c r="I40" i="8"/>
  <c r="K40" i="8" s="1"/>
  <c r="D79" i="8"/>
  <c r="I79" i="8" s="1"/>
  <c r="K79" i="8" s="1"/>
  <c r="I60" i="8"/>
  <c r="K60" i="8" s="1"/>
  <c r="D64" i="8"/>
  <c r="D65" i="8"/>
  <c r="A99" i="8"/>
  <c r="N6" i="8" s="1"/>
  <c r="H80" i="8"/>
  <c r="C80" i="8"/>
  <c r="E83" i="8"/>
  <c r="A112" i="8"/>
  <c r="H93" i="8"/>
  <c r="C93" i="8"/>
  <c r="A111" i="8"/>
  <c r="H92" i="8"/>
  <c r="C92" i="8"/>
  <c r="E92" i="8"/>
  <c r="E98" i="8"/>
  <c r="A104" i="8"/>
  <c r="H85" i="8"/>
  <c r="C85" i="8"/>
  <c r="A108" i="8"/>
  <c r="H89" i="8"/>
  <c r="C89" i="8"/>
  <c r="D86" i="8"/>
  <c r="I86" i="8" s="1"/>
  <c r="K86" i="8" s="1"/>
  <c r="A103" i="8"/>
  <c r="H84" i="8"/>
  <c r="C84" i="8"/>
  <c r="E96" i="8"/>
  <c r="A115" i="8"/>
  <c r="H96" i="8"/>
  <c r="C96" i="8"/>
  <c r="E80" i="8"/>
  <c r="D73" i="8"/>
  <c r="E86" i="8"/>
  <c r="D80" i="8"/>
  <c r="E82" i="8"/>
  <c r="E81" i="8"/>
  <c r="A100" i="8"/>
  <c r="H81" i="8"/>
  <c r="C81" i="8"/>
  <c r="E95" i="8"/>
  <c r="C97" i="8"/>
  <c r="H97" i="8"/>
  <c r="C109" i="8"/>
  <c r="H109" i="8"/>
  <c r="E89" i="8"/>
  <c r="A107" i="8"/>
  <c r="H88" i="8"/>
  <c r="C88" i="8"/>
  <c r="C101" i="8"/>
  <c r="H101" i="8"/>
  <c r="C113" i="8"/>
  <c r="H113" i="8"/>
  <c r="C105" i="8"/>
  <c r="H105" i="8"/>
  <c r="E97" i="8"/>
  <c r="D88" i="8"/>
  <c r="E93" i="8"/>
  <c r="E112" i="8" s="1"/>
  <c r="E87" i="8"/>
  <c r="D93" i="8"/>
  <c r="E84" i="8"/>
  <c r="E72" i="2"/>
  <c r="D35" i="5"/>
  <c r="D37" i="5" s="1"/>
  <c r="D45" i="5" s="1"/>
  <c r="D35" i="3"/>
  <c r="D35" i="1"/>
  <c r="D37" i="1" s="1"/>
  <c r="D37" i="3"/>
  <c r="F37" i="8"/>
  <c r="L37" i="8" s="1"/>
  <c r="F26" i="8"/>
  <c r="L26" i="8" s="1"/>
  <c r="F38" i="8"/>
  <c r="L38" i="8" s="1"/>
  <c r="F31" i="8"/>
  <c r="L31" i="8" s="1"/>
  <c r="F30" i="8"/>
  <c r="L30" i="8" s="1"/>
  <c r="F25" i="8"/>
  <c r="F36" i="8"/>
  <c r="F32" i="8"/>
  <c r="L32" i="8" s="1"/>
  <c r="F22" i="8"/>
  <c r="L22" i="8" s="1"/>
  <c r="F23" i="8"/>
  <c r="F24" i="8"/>
  <c r="L24" i="8" s="1"/>
  <c r="F35" i="8"/>
  <c r="F21" i="8"/>
  <c r="L21" i="8" s="1"/>
  <c r="F46" i="8"/>
  <c r="F28" i="8"/>
  <c r="F29" i="8"/>
  <c r="F34" i="8"/>
  <c r="L34" i="8" s="1"/>
  <c r="F33" i="8"/>
  <c r="F19" i="5"/>
  <c r="F51" i="5" s="1"/>
  <c r="D12" i="1"/>
  <c r="D12" i="3"/>
  <c r="G19" i="3" s="1"/>
  <c r="G23" i="3" s="1"/>
  <c r="G55" i="3" s="1"/>
  <c r="G51" i="5"/>
  <c r="H19" i="5"/>
  <c r="H23" i="5" s="1"/>
  <c r="H55" i="5" s="1"/>
  <c r="I17" i="5"/>
  <c r="G23" i="5"/>
  <c r="G55" i="5" s="1"/>
  <c r="F23" i="5"/>
  <c r="D45" i="3"/>
  <c r="H17" i="3"/>
  <c r="F19" i="3"/>
  <c r="S19" i="1"/>
  <c r="F19" i="1"/>
  <c r="F51" i="1" s="1"/>
  <c r="L19" i="1"/>
  <c r="L51" i="1" s="1"/>
  <c r="Q19" i="1"/>
  <c r="Q51" i="1" s="1"/>
  <c r="N23" i="1"/>
  <c r="N55" i="1" s="1"/>
  <c r="R23" i="1"/>
  <c r="R55" i="1" s="1"/>
  <c r="T17" i="1"/>
  <c r="T23" i="1" s="1"/>
  <c r="T55" i="1" s="1"/>
  <c r="P19" i="1"/>
  <c r="P51" i="1" s="1"/>
  <c r="Q23" i="1"/>
  <c r="Q55" i="1" s="1"/>
  <c r="M19" i="1"/>
  <c r="M51" i="1" s="1"/>
  <c r="R19" i="1"/>
  <c r="R51" i="1" s="1"/>
  <c r="O23" i="1"/>
  <c r="O55" i="1" s="1"/>
  <c r="J19" i="1"/>
  <c r="M23" i="1"/>
  <c r="M55" i="1" s="1"/>
  <c r="H19" i="1"/>
  <c r="H51" i="1" s="1"/>
  <c r="I19" i="1"/>
  <c r="N19" i="1"/>
  <c r="P23" i="1"/>
  <c r="P55" i="1" s="1"/>
  <c r="T19" i="1"/>
  <c r="G19" i="1"/>
  <c r="K19" i="1"/>
  <c r="O19" i="1"/>
  <c r="O51" i="1" s="1"/>
  <c r="E47" i="2"/>
  <c r="H23" i="1"/>
  <c r="H74" i="7" l="1"/>
  <c r="H64" i="7"/>
  <c r="G17" i="7"/>
  <c r="G33" i="7"/>
  <c r="F21" i="7"/>
  <c r="F34" i="7"/>
  <c r="F38" i="7" s="1"/>
  <c r="K38" i="12"/>
  <c r="L33" i="12"/>
  <c r="O6" i="12"/>
  <c r="O10" i="12" s="1"/>
  <c r="O16" i="12" s="1"/>
  <c r="M82" i="12"/>
  <c r="M73" i="12"/>
  <c r="M33" i="12"/>
  <c r="H16" i="7"/>
  <c r="H33" i="7" s="1"/>
  <c r="J6" i="7"/>
  <c r="I10" i="7"/>
  <c r="D90" i="8"/>
  <c r="I90" i="8" s="1"/>
  <c r="K90" i="8" s="1"/>
  <c r="F77" i="8"/>
  <c r="L77" i="8" s="1"/>
  <c r="D96" i="8"/>
  <c r="I96" i="8" s="1"/>
  <c r="K96" i="8" s="1"/>
  <c r="D89" i="8"/>
  <c r="I89" i="8" s="1"/>
  <c r="K89" i="8" s="1"/>
  <c r="N12" i="8"/>
  <c r="E103" i="8"/>
  <c r="E99" i="8"/>
  <c r="I93" i="8"/>
  <c r="K93" i="8" s="1"/>
  <c r="E104" i="8"/>
  <c r="D94" i="8"/>
  <c r="I94" i="8" s="1"/>
  <c r="K94" i="8" s="1"/>
  <c r="F96" i="8"/>
  <c r="M19" i="8"/>
  <c r="E106" i="8"/>
  <c r="M8" i="8"/>
  <c r="E114" i="8"/>
  <c r="D85" i="8"/>
  <c r="I85" i="8" s="1"/>
  <c r="K85" i="8" s="1"/>
  <c r="M3" i="8"/>
  <c r="E113" i="8"/>
  <c r="E108" i="8"/>
  <c r="E101" i="8"/>
  <c r="D98" i="8"/>
  <c r="I98" i="8" s="1"/>
  <c r="K98" i="8" s="1"/>
  <c r="D107" i="8"/>
  <c r="I88" i="8"/>
  <c r="K88" i="8" s="1"/>
  <c r="D83" i="8"/>
  <c r="I83" i="8" s="1"/>
  <c r="K83" i="8" s="1"/>
  <c r="I64" i="8"/>
  <c r="K64" i="8" s="1"/>
  <c r="D81" i="8"/>
  <c r="I81" i="8" s="1"/>
  <c r="K81" i="8" s="1"/>
  <c r="D84" i="8"/>
  <c r="I84" i="8" s="1"/>
  <c r="K84" i="8" s="1"/>
  <c r="I65" i="8"/>
  <c r="K65" i="8" s="1"/>
  <c r="D82" i="8"/>
  <c r="I82" i="8" s="1"/>
  <c r="K82" i="8" s="1"/>
  <c r="D92" i="8"/>
  <c r="I92" i="8" s="1"/>
  <c r="K92" i="8" s="1"/>
  <c r="I73" i="8"/>
  <c r="K73" i="8" s="1"/>
  <c r="D99" i="8"/>
  <c r="I80" i="8"/>
  <c r="K80" i="8" s="1"/>
  <c r="D78" i="8"/>
  <c r="D87" i="8"/>
  <c r="I87" i="8" s="1"/>
  <c r="K87" i="8" s="1"/>
  <c r="I68" i="8"/>
  <c r="K68" i="8" s="1"/>
  <c r="D91" i="8"/>
  <c r="I72" i="8"/>
  <c r="K72" i="8" s="1"/>
  <c r="D114" i="8"/>
  <c r="I114" i="8" s="1"/>
  <c r="K114" i="8" s="1"/>
  <c r="F65" i="8"/>
  <c r="L65" i="8" s="1"/>
  <c r="D105" i="8"/>
  <c r="I105" i="8" s="1"/>
  <c r="K105" i="8" s="1"/>
  <c r="D112" i="8"/>
  <c r="I112" i="8" s="1"/>
  <c r="K112" i="8" s="1"/>
  <c r="D109" i="8"/>
  <c r="I109" i="8" s="1"/>
  <c r="K109" i="8" s="1"/>
  <c r="M2" i="8"/>
  <c r="C107" i="8"/>
  <c r="H107" i="8"/>
  <c r="M7" i="8"/>
  <c r="N20" i="8"/>
  <c r="H100" i="8"/>
  <c r="C100" i="8"/>
  <c r="N7" i="8"/>
  <c r="C115" i="8"/>
  <c r="H115" i="8"/>
  <c r="D115" i="8"/>
  <c r="H104" i="8"/>
  <c r="C104" i="8"/>
  <c r="E102" i="8"/>
  <c r="M11" i="8"/>
  <c r="M12" i="8"/>
  <c r="E109" i="8"/>
  <c r="E110" i="8"/>
  <c r="N9" i="8"/>
  <c r="M15" i="8"/>
  <c r="N5" i="8"/>
  <c r="E100" i="8"/>
  <c r="N2" i="8"/>
  <c r="M10" i="8"/>
  <c r="E107" i="8"/>
  <c r="N17" i="8"/>
  <c r="E111" i="8"/>
  <c r="N8" i="8"/>
  <c r="N18" i="8"/>
  <c r="H112" i="8"/>
  <c r="C112" i="8"/>
  <c r="N4" i="8"/>
  <c r="M6" i="8"/>
  <c r="N16" i="8"/>
  <c r="C99" i="8"/>
  <c r="H99" i="8"/>
  <c r="M4" i="8"/>
  <c r="M5" i="8"/>
  <c r="M13" i="8"/>
  <c r="N11" i="8"/>
  <c r="N15" i="8"/>
  <c r="N19" i="8"/>
  <c r="M16" i="8"/>
  <c r="N10" i="8"/>
  <c r="N3" i="8"/>
  <c r="M14" i="8"/>
  <c r="N14" i="8"/>
  <c r="M9" i="8"/>
  <c r="E105" i="8"/>
  <c r="E115" i="8"/>
  <c r="C103" i="8"/>
  <c r="H103" i="8"/>
  <c r="H108" i="8"/>
  <c r="C108" i="8"/>
  <c r="M20" i="8"/>
  <c r="C111" i="8"/>
  <c r="H111" i="8"/>
  <c r="M18" i="8"/>
  <c r="M17" i="8"/>
  <c r="N13" i="8"/>
  <c r="E37" i="5"/>
  <c r="D45" i="1"/>
  <c r="E37" i="3"/>
  <c r="F53" i="3"/>
  <c r="G53" i="3"/>
  <c r="F53" i="5"/>
  <c r="G53" i="5"/>
  <c r="H53" i="5" s="1"/>
  <c r="N29" i="8"/>
  <c r="N33" i="8"/>
  <c r="N28" i="8"/>
  <c r="N25" i="8"/>
  <c r="L28" i="8"/>
  <c r="L46" i="8"/>
  <c r="N35" i="8"/>
  <c r="N23" i="8"/>
  <c r="N22" i="8"/>
  <c r="N36" i="8"/>
  <c r="N31" i="8"/>
  <c r="N26" i="8"/>
  <c r="L35" i="8"/>
  <c r="L36" i="8"/>
  <c r="N34" i="8"/>
  <c r="N21" i="8"/>
  <c r="N39" i="8"/>
  <c r="N27" i="8"/>
  <c r="N24" i="8"/>
  <c r="N32" i="8"/>
  <c r="N30" i="8"/>
  <c r="N38" i="8"/>
  <c r="N37" i="8"/>
  <c r="L23" i="8"/>
  <c r="L29" i="8"/>
  <c r="L33" i="8"/>
  <c r="L25" i="8"/>
  <c r="F51" i="8"/>
  <c r="F56" i="8"/>
  <c r="F52" i="8"/>
  <c r="F47" i="8"/>
  <c r="F53" i="8"/>
  <c r="F40" i="8"/>
  <c r="F43" i="8"/>
  <c r="F49" i="8"/>
  <c r="F57" i="8"/>
  <c r="F54" i="8"/>
  <c r="F42" i="8"/>
  <c r="F41" i="8"/>
  <c r="F55" i="8"/>
  <c r="F50" i="8"/>
  <c r="F48" i="8"/>
  <c r="F45" i="8"/>
  <c r="F44" i="8"/>
  <c r="L23" i="1"/>
  <c r="O57" i="1"/>
  <c r="M57" i="1"/>
  <c r="L25" i="1"/>
  <c r="L55" i="1"/>
  <c r="L57" i="1" s="1"/>
  <c r="H25" i="1"/>
  <c r="H55" i="1"/>
  <c r="N25" i="1"/>
  <c r="N51" i="1"/>
  <c r="N57" i="1" s="1"/>
  <c r="S25" i="1"/>
  <c r="S51" i="1"/>
  <c r="S57" i="1" s="1"/>
  <c r="G23" i="1"/>
  <c r="G51" i="1"/>
  <c r="I23" i="1"/>
  <c r="I55" i="1" s="1"/>
  <c r="I51" i="1"/>
  <c r="P57" i="1"/>
  <c r="Q57" i="1"/>
  <c r="H19" i="3"/>
  <c r="H51" i="3" s="1"/>
  <c r="K23" i="1"/>
  <c r="K51" i="1"/>
  <c r="J23" i="1"/>
  <c r="J55" i="1" s="1"/>
  <c r="J51" i="1"/>
  <c r="F23" i="1"/>
  <c r="T25" i="1"/>
  <c r="T51" i="1"/>
  <c r="T57" i="1" s="1"/>
  <c r="R57" i="1"/>
  <c r="F55" i="5"/>
  <c r="F29" i="5"/>
  <c r="F30" i="5" s="1"/>
  <c r="G25" i="5"/>
  <c r="G57" i="5"/>
  <c r="F57" i="5"/>
  <c r="J17" i="5"/>
  <c r="I19" i="5"/>
  <c r="I23" i="5" s="1"/>
  <c r="I55" i="5" s="1"/>
  <c r="F25" i="5"/>
  <c r="H25" i="5"/>
  <c r="H51" i="5"/>
  <c r="H57" i="5" s="1"/>
  <c r="F51" i="3"/>
  <c r="F23" i="3"/>
  <c r="F55" i="3" s="1"/>
  <c r="H53" i="3"/>
  <c r="G51" i="3"/>
  <c r="G57" i="3" s="1"/>
  <c r="G25" i="3"/>
  <c r="I17" i="3"/>
  <c r="R25" i="1"/>
  <c r="P25" i="1"/>
  <c r="Q25" i="1"/>
  <c r="J25" i="1"/>
  <c r="I25" i="1"/>
  <c r="M25" i="1"/>
  <c r="O25" i="1"/>
  <c r="O17" i="12" l="1"/>
  <c r="I64" i="7"/>
  <c r="I74" i="7"/>
  <c r="G21" i="7"/>
  <c r="G34" i="7"/>
  <c r="G38" i="7" s="1"/>
  <c r="N82" i="12"/>
  <c r="N73" i="12"/>
  <c r="L34" i="12"/>
  <c r="L38" i="12" s="1"/>
  <c r="L21" i="12"/>
  <c r="P6" i="12"/>
  <c r="P10" i="12" s="1"/>
  <c r="P16" i="12" s="1"/>
  <c r="P17" i="12" s="1"/>
  <c r="M34" i="12"/>
  <c r="M21" i="12"/>
  <c r="I16" i="7"/>
  <c r="H17" i="7"/>
  <c r="K6" i="7"/>
  <c r="J10" i="7"/>
  <c r="D108" i="8"/>
  <c r="I108" i="8" s="1"/>
  <c r="K108" i="8" s="1"/>
  <c r="D104" i="8"/>
  <c r="I104" i="8" s="1"/>
  <c r="K104" i="8" s="1"/>
  <c r="L96" i="8"/>
  <c r="D113" i="8"/>
  <c r="I113" i="8" s="1"/>
  <c r="K113" i="8" s="1"/>
  <c r="D100" i="8"/>
  <c r="I100" i="8" s="1"/>
  <c r="K100" i="8" s="1"/>
  <c r="D101" i="8"/>
  <c r="I101" i="8" s="1"/>
  <c r="K101" i="8" s="1"/>
  <c r="D103" i="8"/>
  <c r="I103" i="8" s="1"/>
  <c r="K103" i="8" s="1"/>
  <c r="I107" i="8"/>
  <c r="K107" i="8" s="1"/>
  <c r="F84" i="8"/>
  <c r="L84" i="8" s="1"/>
  <c r="I115" i="8"/>
  <c r="K115" i="8" s="1"/>
  <c r="I99" i="8"/>
  <c r="K99" i="8" s="1"/>
  <c r="D106" i="8"/>
  <c r="I106" i="8" s="1"/>
  <c r="K106" i="8" s="1"/>
  <c r="D102" i="8"/>
  <c r="I102" i="8" s="1"/>
  <c r="K102" i="8" s="1"/>
  <c r="D111" i="8"/>
  <c r="I111" i="8" s="1"/>
  <c r="K111" i="8" s="1"/>
  <c r="I91" i="8"/>
  <c r="K91" i="8" s="1"/>
  <c r="D110" i="8"/>
  <c r="I110" i="8" s="1"/>
  <c r="K110" i="8" s="1"/>
  <c r="D97" i="8"/>
  <c r="I97" i="8" s="1"/>
  <c r="K97" i="8" s="1"/>
  <c r="I78" i="8"/>
  <c r="K78" i="8" s="1"/>
  <c r="F115" i="8"/>
  <c r="E45" i="5"/>
  <c r="G53" i="1"/>
  <c r="H53" i="1" s="1"/>
  <c r="H57" i="1" s="1"/>
  <c r="E45" i="3"/>
  <c r="F53" i="1"/>
  <c r="M33" i="8"/>
  <c r="M27" i="8"/>
  <c r="F63" i="8"/>
  <c r="L63" i="8" s="1"/>
  <c r="N43" i="8"/>
  <c r="L43" i="8"/>
  <c r="N53" i="8"/>
  <c r="L53" i="8"/>
  <c r="N48" i="8"/>
  <c r="L48" i="8"/>
  <c r="N50" i="8"/>
  <c r="L50" i="8"/>
  <c r="N41" i="8"/>
  <c r="L41" i="8"/>
  <c r="N40" i="8"/>
  <c r="L40" i="8"/>
  <c r="N58" i="8"/>
  <c r="N47" i="8"/>
  <c r="L47" i="8"/>
  <c r="M25" i="8"/>
  <c r="M35" i="8"/>
  <c r="M22" i="8"/>
  <c r="M30" i="8"/>
  <c r="M39" i="8"/>
  <c r="N54" i="8"/>
  <c r="L54" i="8"/>
  <c r="N49" i="8"/>
  <c r="L49" i="8"/>
  <c r="N56" i="8"/>
  <c r="L56" i="8"/>
  <c r="N46" i="8"/>
  <c r="M26" i="8"/>
  <c r="M37" i="8"/>
  <c r="M21" i="8"/>
  <c r="N44" i="8"/>
  <c r="L44" i="8"/>
  <c r="N45" i="8"/>
  <c r="L45" i="8"/>
  <c r="N55" i="8"/>
  <c r="L55" i="8"/>
  <c r="N42" i="8"/>
  <c r="L42" i="8"/>
  <c r="N57" i="8"/>
  <c r="L57" i="8"/>
  <c r="N52" i="8"/>
  <c r="L52" i="8"/>
  <c r="N51" i="8"/>
  <c r="L51" i="8"/>
  <c r="M29" i="8"/>
  <c r="M28" i="8"/>
  <c r="M31" i="8"/>
  <c r="M38" i="8"/>
  <c r="M23" i="8"/>
  <c r="M36" i="8"/>
  <c r="M24" i="8"/>
  <c r="M32" i="8"/>
  <c r="M34" i="8"/>
  <c r="F68" i="8"/>
  <c r="F73" i="8"/>
  <c r="F67" i="8"/>
  <c r="F69" i="8"/>
  <c r="F60" i="8"/>
  <c r="F59" i="8"/>
  <c r="F66" i="8"/>
  <c r="F64" i="8"/>
  <c r="F75" i="8"/>
  <c r="F62" i="8"/>
  <c r="F72" i="8"/>
  <c r="F71" i="8"/>
  <c r="F74" i="8"/>
  <c r="F61" i="8"/>
  <c r="F76" i="8"/>
  <c r="F70" i="8"/>
  <c r="H23" i="3"/>
  <c r="H55" i="3" s="1"/>
  <c r="J57" i="1"/>
  <c r="I57" i="1"/>
  <c r="F25" i="1"/>
  <c r="F55" i="1"/>
  <c r="F57" i="1" s="1"/>
  <c r="K25" i="1"/>
  <c r="K55" i="1"/>
  <c r="K57" i="1" s="1"/>
  <c r="G25" i="1"/>
  <c r="G55" i="1"/>
  <c r="G57" i="1" s="1"/>
  <c r="K17" i="5"/>
  <c r="J19" i="5"/>
  <c r="J23" i="5" s="1"/>
  <c r="J55" i="5" s="1"/>
  <c r="I25" i="5"/>
  <c r="I51" i="5"/>
  <c r="I57" i="5" s="1"/>
  <c r="F25" i="3"/>
  <c r="J17" i="3"/>
  <c r="I19" i="3"/>
  <c r="H25" i="3"/>
  <c r="H57" i="3"/>
  <c r="F57" i="3"/>
  <c r="I17" i="7" l="1"/>
  <c r="I33" i="7"/>
  <c r="J64" i="7"/>
  <c r="J74" i="7"/>
  <c r="H21" i="7"/>
  <c r="H34" i="7"/>
  <c r="H38" i="7" s="1"/>
  <c r="M38" i="12"/>
  <c r="N33" i="12"/>
  <c r="O73" i="12"/>
  <c r="O82" i="12"/>
  <c r="Q6" i="12"/>
  <c r="Q10" i="12" s="1"/>
  <c r="J16" i="7"/>
  <c r="J33" i="7" s="1"/>
  <c r="L6" i="7"/>
  <c r="K10" i="7"/>
  <c r="F103" i="8"/>
  <c r="L103" i="8" s="1"/>
  <c r="L115" i="8"/>
  <c r="M51" i="8"/>
  <c r="F82" i="8"/>
  <c r="L82" i="8" s="1"/>
  <c r="F101" i="8"/>
  <c r="L101" i="8" s="1"/>
  <c r="M52" i="8"/>
  <c r="M46" i="8"/>
  <c r="N74" i="8"/>
  <c r="L74" i="8"/>
  <c r="N75" i="8"/>
  <c r="L75" i="8"/>
  <c r="N66" i="8"/>
  <c r="L66" i="8"/>
  <c r="N60" i="8"/>
  <c r="L60" i="8"/>
  <c r="N67" i="8"/>
  <c r="L67" i="8"/>
  <c r="M56" i="8"/>
  <c r="M54" i="8"/>
  <c r="M40" i="8"/>
  <c r="M58" i="8"/>
  <c r="M50" i="8"/>
  <c r="M43" i="8"/>
  <c r="N76" i="8"/>
  <c r="L76" i="8"/>
  <c r="N68" i="8"/>
  <c r="L68" i="8"/>
  <c r="M57" i="8"/>
  <c r="M55" i="8"/>
  <c r="M47" i="8"/>
  <c r="N72" i="8"/>
  <c r="L72" i="8"/>
  <c r="N69" i="8"/>
  <c r="L69" i="8"/>
  <c r="M49" i="8"/>
  <c r="M41" i="8"/>
  <c r="M48" i="8"/>
  <c r="M53" i="8"/>
  <c r="N61" i="8"/>
  <c r="L61" i="8"/>
  <c r="N70" i="8"/>
  <c r="L70" i="8"/>
  <c r="N71" i="8"/>
  <c r="L71" i="8"/>
  <c r="N62" i="8"/>
  <c r="L62" i="8"/>
  <c r="N64" i="8"/>
  <c r="L64" i="8"/>
  <c r="N59" i="8"/>
  <c r="L59" i="8"/>
  <c r="N77" i="8"/>
  <c r="N63" i="8"/>
  <c r="N65" i="8"/>
  <c r="N73" i="8"/>
  <c r="L73" i="8"/>
  <c r="M42" i="8"/>
  <c r="M45" i="8"/>
  <c r="M44" i="8"/>
  <c r="F81" i="8"/>
  <c r="F100" i="8"/>
  <c r="F83" i="8"/>
  <c r="F102" i="8"/>
  <c r="F78" i="8"/>
  <c r="F97" i="8"/>
  <c r="F111" i="8"/>
  <c r="F92" i="8"/>
  <c r="F89" i="8"/>
  <c r="F108" i="8"/>
  <c r="F88" i="8"/>
  <c r="F107" i="8"/>
  <c r="F109" i="8"/>
  <c r="F90" i="8"/>
  <c r="F80" i="8"/>
  <c r="F99" i="8"/>
  <c r="F95" i="8"/>
  <c r="F114" i="8"/>
  <c r="F91" i="8"/>
  <c r="F110" i="8"/>
  <c r="F87" i="8"/>
  <c r="F106" i="8"/>
  <c r="F93" i="8"/>
  <c r="F112" i="8"/>
  <c r="F94" i="8"/>
  <c r="F113" i="8"/>
  <c r="F85" i="8"/>
  <c r="F104" i="8"/>
  <c r="F79" i="8"/>
  <c r="F98" i="8"/>
  <c r="F105" i="8"/>
  <c r="F86" i="8"/>
  <c r="F59" i="1"/>
  <c r="D5" i="4" s="1"/>
  <c r="F27" i="1"/>
  <c r="C5" i="4" s="1"/>
  <c r="J25" i="5"/>
  <c r="J51" i="5"/>
  <c r="J57" i="5" s="1"/>
  <c r="L17" i="5"/>
  <c r="K19" i="5"/>
  <c r="I51" i="3"/>
  <c r="K17" i="3"/>
  <c r="J19" i="3"/>
  <c r="J23" i="3" s="1"/>
  <c r="J55" i="3" s="1"/>
  <c r="I23" i="3"/>
  <c r="I55" i="3" s="1"/>
  <c r="Q16" i="12" l="1"/>
  <c r="Q17" i="12" s="1"/>
  <c r="K74" i="7"/>
  <c r="K64" i="7"/>
  <c r="I21" i="7"/>
  <c r="I34" i="7"/>
  <c r="I38" i="7" s="1"/>
  <c r="P73" i="12"/>
  <c r="P82" i="12"/>
  <c r="N21" i="12"/>
  <c r="N34" i="12"/>
  <c r="N38" i="12" s="1"/>
  <c r="O33" i="12"/>
  <c r="J17" i="7"/>
  <c r="K16" i="7"/>
  <c r="M6" i="7"/>
  <c r="L10" i="7"/>
  <c r="M73" i="8"/>
  <c r="M64" i="8"/>
  <c r="N98" i="8"/>
  <c r="L98" i="8"/>
  <c r="N113" i="8"/>
  <c r="L113" i="8"/>
  <c r="N114" i="8"/>
  <c r="L114" i="8"/>
  <c r="N90" i="8"/>
  <c r="L90" i="8"/>
  <c r="N97" i="8"/>
  <c r="L97" i="8"/>
  <c r="N115" i="8"/>
  <c r="N103" i="8"/>
  <c r="N101" i="8"/>
  <c r="N79" i="8"/>
  <c r="L79" i="8"/>
  <c r="N94" i="8"/>
  <c r="L94" i="8"/>
  <c r="N87" i="8"/>
  <c r="L87" i="8"/>
  <c r="N95" i="8"/>
  <c r="L95" i="8"/>
  <c r="N109" i="8"/>
  <c r="L109" i="8"/>
  <c r="N89" i="8"/>
  <c r="L89" i="8"/>
  <c r="N78" i="8"/>
  <c r="L78" i="8"/>
  <c r="N96" i="8"/>
  <c r="N82" i="8"/>
  <c r="N84" i="8"/>
  <c r="N81" i="8"/>
  <c r="L81" i="8"/>
  <c r="M72" i="8"/>
  <c r="M60" i="8"/>
  <c r="M75" i="8"/>
  <c r="N104" i="8"/>
  <c r="L104" i="8"/>
  <c r="N110" i="8"/>
  <c r="L110" i="8"/>
  <c r="N107" i="8"/>
  <c r="L107" i="8"/>
  <c r="N92" i="8"/>
  <c r="L92" i="8"/>
  <c r="N102" i="8"/>
  <c r="L102" i="8"/>
  <c r="M59" i="8"/>
  <c r="M77" i="8"/>
  <c r="M65" i="8"/>
  <c r="M63" i="8"/>
  <c r="M62" i="8"/>
  <c r="M70" i="8"/>
  <c r="M76" i="8"/>
  <c r="N112" i="8"/>
  <c r="L112" i="8"/>
  <c r="N99" i="8"/>
  <c r="L99" i="8"/>
  <c r="N105" i="8"/>
  <c r="L105" i="8"/>
  <c r="N85" i="8"/>
  <c r="L85" i="8"/>
  <c r="N93" i="8"/>
  <c r="L93" i="8"/>
  <c r="N91" i="8"/>
  <c r="L91" i="8"/>
  <c r="N80" i="8"/>
  <c r="L80" i="8"/>
  <c r="N88" i="8"/>
  <c r="L88" i="8"/>
  <c r="N111" i="8"/>
  <c r="L111" i="8"/>
  <c r="N83" i="8"/>
  <c r="L83" i="8"/>
  <c r="M69" i="8"/>
  <c r="M67" i="8"/>
  <c r="M66" i="8"/>
  <c r="M74" i="8"/>
  <c r="N86" i="8"/>
  <c r="L86" i="8"/>
  <c r="N106" i="8"/>
  <c r="L106" i="8"/>
  <c r="N108" i="8"/>
  <c r="L108" i="8"/>
  <c r="N100" i="8"/>
  <c r="L100" i="8"/>
  <c r="M71" i="8"/>
  <c r="M61" i="8"/>
  <c r="M68" i="8"/>
  <c r="K51" i="5"/>
  <c r="L19" i="5"/>
  <c r="L23" i="5" s="1"/>
  <c r="L55" i="5" s="1"/>
  <c r="M17" i="5"/>
  <c r="K23" i="5"/>
  <c r="K55" i="5" s="1"/>
  <c r="I25" i="3"/>
  <c r="J51" i="3"/>
  <c r="J57" i="3" s="1"/>
  <c r="J25" i="3"/>
  <c r="I57" i="3"/>
  <c r="L17" i="3"/>
  <c r="K19" i="3"/>
  <c r="K23" i="3" s="1"/>
  <c r="K55" i="3" s="1"/>
  <c r="K17" i="7" l="1"/>
  <c r="K34" i="7" s="1"/>
  <c r="K33" i="7"/>
  <c r="J21" i="7"/>
  <c r="J34" i="7"/>
  <c r="J38" i="7" s="1"/>
  <c r="L74" i="7"/>
  <c r="L64" i="7"/>
  <c r="O21" i="12"/>
  <c r="O34" i="12"/>
  <c r="O38" i="12" s="1"/>
  <c r="Q82" i="12"/>
  <c r="Q73" i="12"/>
  <c r="P33" i="12"/>
  <c r="L16" i="7"/>
  <c r="N6" i="7"/>
  <c r="M10" i="7"/>
  <c r="M108" i="8"/>
  <c r="M86" i="8"/>
  <c r="M100" i="8"/>
  <c r="M106" i="8"/>
  <c r="M83" i="8"/>
  <c r="M88" i="8"/>
  <c r="M91" i="8"/>
  <c r="M85" i="8"/>
  <c r="M99" i="8"/>
  <c r="M81" i="8"/>
  <c r="M90" i="8"/>
  <c r="M113" i="8"/>
  <c r="M92" i="8"/>
  <c r="M110" i="8"/>
  <c r="M78" i="8"/>
  <c r="M96" i="8"/>
  <c r="M84" i="8"/>
  <c r="M82" i="8"/>
  <c r="M109" i="8"/>
  <c r="M87" i="8"/>
  <c r="M79" i="8"/>
  <c r="M111" i="8"/>
  <c r="M80" i="8"/>
  <c r="M93" i="8"/>
  <c r="M105" i="8"/>
  <c r="M112" i="8"/>
  <c r="M97" i="8"/>
  <c r="M115" i="8"/>
  <c r="M101" i="8"/>
  <c r="M103" i="8"/>
  <c r="M114" i="8"/>
  <c r="M98" i="8"/>
  <c r="M102" i="8"/>
  <c r="M107" i="8"/>
  <c r="M104" i="8"/>
  <c r="M89" i="8"/>
  <c r="M95" i="8"/>
  <c r="M94" i="8"/>
  <c r="L25" i="5"/>
  <c r="L51" i="5"/>
  <c r="L57" i="5" s="1"/>
  <c r="N17" i="5"/>
  <c r="M19" i="5"/>
  <c r="M23" i="5" s="1"/>
  <c r="M55" i="5" s="1"/>
  <c r="K25" i="5"/>
  <c r="K57" i="5"/>
  <c r="K51" i="3"/>
  <c r="K57" i="3" s="1"/>
  <c r="K25" i="3"/>
  <c r="M17" i="3"/>
  <c r="L19" i="3"/>
  <c r="L23" i="3" s="1"/>
  <c r="L55" i="3" s="1"/>
  <c r="K38" i="7" l="1"/>
  <c r="K21" i="7"/>
  <c r="M64" i="7"/>
  <c r="M74" i="7"/>
  <c r="L17" i="7"/>
  <c r="L33" i="7"/>
  <c r="P34" i="12"/>
  <c r="P38" i="12" s="1"/>
  <c r="P21" i="12"/>
  <c r="Q33" i="12"/>
  <c r="M16" i="7"/>
  <c r="O6" i="7"/>
  <c r="N10" i="7"/>
  <c r="O17" i="5"/>
  <c r="N19" i="5"/>
  <c r="N23" i="5" s="1"/>
  <c r="N55" i="5" s="1"/>
  <c r="M25" i="5"/>
  <c r="M51" i="5"/>
  <c r="M57" i="5" s="1"/>
  <c r="L51" i="3"/>
  <c r="L57" i="3" s="1"/>
  <c r="L25" i="3"/>
  <c r="N17" i="3"/>
  <c r="M19" i="3"/>
  <c r="M23" i="3" s="1"/>
  <c r="M55" i="3" s="1"/>
  <c r="N64" i="7" l="1"/>
  <c r="N74" i="7"/>
  <c r="M17" i="7"/>
  <c r="M33" i="7"/>
  <c r="L21" i="7"/>
  <c r="L34" i="7"/>
  <c r="L38" i="7" s="1"/>
  <c r="Q34" i="12"/>
  <c r="Q38" i="12" s="1"/>
  <c r="D39" i="12" s="1"/>
  <c r="Q21" i="12"/>
  <c r="D22" i="12" s="1"/>
  <c r="N16" i="7"/>
  <c r="O10" i="7"/>
  <c r="P6" i="7"/>
  <c r="N25" i="5"/>
  <c r="N51" i="5"/>
  <c r="N57" i="5" s="1"/>
  <c r="P17" i="5"/>
  <c r="O19" i="5"/>
  <c r="O23" i="5" s="1"/>
  <c r="O55" i="5" s="1"/>
  <c r="M51" i="3"/>
  <c r="M57" i="3" s="1"/>
  <c r="M25" i="3"/>
  <c r="O17" i="3"/>
  <c r="N23" i="3"/>
  <c r="N55" i="3" s="1"/>
  <c r="N19" i="3"/>
  <c r="M21" i="7" l="1"/>
  <c r="M34" i="7"/>
  <c r="M38" i="7" s="1"/>
  <c r="O74" i="7"/>
  <c r="O64" i="7"/>
  <c r="N17" i="7"/>
  <c r="N33" i="7"/>
  <c r="D24" i="12"/>
  <c r="D27" i="12" s="1"/>
  <c r="E24" i="12"/>
  <c r="F24" i="12"/>
  <c r="F27" i="12" s="1"/>
  <c r="G24" i="12"/>
  <c r="H24" i="12"/>
  <c r="H27" i="12" s="1"/>
  <c r="H74" i="12" s="1"/>
  <c r="H76" i="12" s="1"/>
  <c r="I24" i="12"/>
  <c r="J24" i="12"/>
  <c r="J27" i="12" s="1"/>
  <c r="K24" i="12"/>
  <c r="K27" i="12" s="1"/>
  <c r="K74" i="12" s="1"/>
  <c r="K76" i="12" s="1"/>
  <c r="L24" i="12"/>
  <c r="L27" i="12" s="1"/>
  <c r="L74" i="12" s="1"/>
  <c r="L76" i="12" s="1"/>
  <c r="M24" i="12"/>
  <c r="M27" i="12" s="1"/>
  <c r="M74" i="12" s="1"/>
  <c r="M76" i="12" s="1"/>
  <c r="N24" i="12"/>
  <c r="N27" i="12" s="1"/>
  <c r="N74" i="12" s="1"/>
  <c r="N76" i="12" s="1"/>
  <c r="O24" i="12"/>
  <c r="O27" i="12" s="1"/>
  <c r="O74" i="12" s="1"/>
  <c r="O76" i="12" s="1"/>
  <c r="P24" i="12"/>
  <c r="P27" i="12" s="1"/>
  <c r="P74" i="12" s="1"/>
  <c r="P76" i="12" s="1"/>
  <c r="Q24" i="12"/>
  <c r="D41" i="12"/>
  <c r="D44" i="12" s="1"/>
  <c r="F41" i="12"/>
  <c r="F44" i="12" s="1"/>
  <c r="F83" i="12" s="1"/>
  <c r="F85" i="12" s="1"/>
  <c r="E41" i="12"/>
  <c r="G41" i="12"/>
  <c r="H41" i="12"/>
  <c r="I41" i="12"/>
  <c r="J41" i="12"/>
  <c r="J44" i="12" s="1"/>
  <c r="J83" i="12" s="1"/>
  <c r="J85" i="12" s="1"/>
  <c r="K41" i="12"/>
  <c r="K44" i="12" s="1"/>
  <c r="K83" i="12" s="1"/>
  <c r="K85" i="12" s="1"/>
  <c r="L41" i="12"/>
  <c r="L44" i="12" s="1"/>
  <c r="L83" i="12" s="1"/>
  <c r="L85" i="12" s="1"/>
  <c r="M41" i="12"/>
  <c r="M44" i="12" s="1"/>
  <c r="M83" i="12" s="1"/>
  <c r="M85" i="12" s="1"/>
  <c r="N41" i="12"/>
  <c r="N44" i="12" s="1"/>
  <c r="N83" i="12" s="1"/>
  <c r="N85" i="12" s="1"/>
  <c r="O41" i="12"/>
  <c r="O44" i="12" s="1"/>
  <c r="O83" i="12" s="1"/>
  <c r="O85" i="12" s="1"/>
  <c r="P41" i="12"/>
  <c r="P44" i="12" s="1"/>
  <c r="P83" i="12" s="1"/>
  <c r="P85" i="12" s="1"/>
  <c r="Q41" i="12"/>
  <c r="O16" i="7"/>
  <c r="P10" i="7"/>
  <c r="Q6" i="7"/>
  <c r="P19" i="5"/>
  <c r="P23" i="5"/>
  <c r="P55" i="5" s="1"/>
  <c r="Q17" i="5"/>
  <c r="O51" i="5"/>
  <c r="O57" i="5" s="1"/>
  <c r="O25" i="5"/>
  <c r="O23" i="3"/>
  <c r="O55" i="3" s="1"/>
  <c r="P17" i="3"/>
  <c r="O19" i="3"/>
  <c r="N51" i="3"/>
  <c r="N57" i="3" s="1"/>
  <c r="N25" i="3"/>
  <c r="O17" i="7" l="1"/>
  <c r="O33" i="7"/>
  <c r="P74" i="7"/>
  <c r="P64" i="7"/>
  <c r="N21" i="7"/>
  <c r="N34" i="7"/>
  <c r="N38" i="7" s="1"/>
  <c r="F74" i="12"/>
  <c r="F76" i="12" s="1"/>
  <c r="Q42" i="12"/>
  <c r="M42" i="12"/>
  <c r="I42" i="12"/>
  <c r="E42" i="12"/>
  <c r="H42" i="12"/>
  <c r="I44" i="12" s="1"/>
  <c r="I83" i="12" s="1"/>
  <c r="I85" i="12" s="1"/>
  <c r="O42" i="12"/>
  <c r="K42" i="12"/>
  <c r="G42" i="12"/>
  <c r="H44" i="12" s="1"/>
  <c r="H83" i="12" s="1"/>
  <c r="H85" i="12" s="1"/>
  <c r="P42" i="12"/>
  <c r="Q44" i="12" s="1"/>
  <c r="Q83" i="12" s="1"/>
  <c r="Q85" i="12" s="1"/>
  <c r="D42" i="12"/>
  <c r="E44" i="12" s="1"/>
  <c r="E83" i="12" s="1"/>
  <c r="E85" i="12" s="1"/>
  <c r="N42" i="12"/>
  <c r="J42" i="12"/>
  <c r="F42" i="12"/>
  <c r="G44" i="12" s="1"/>
  <c r="G83" i="12" s="1"/>
  <c r="G85" i="12" s="1"/>
  <c r="L42" i="12"/>
  <c r="P25" i="12"/>
  <c r="Q27" i="12" s="1"/>
  <c r="Q74" i="12" s="1"/>
  <c r="Q76" i="12" s="1"/>
  <c r="L25" i="12"/>
  <c r="H25" i="12"/>
  <c r="I27" i="12" s="1"/>
  <c r="I74" i="12" s="1"/>
  <c r="I76" i="12" s="1"/>
  <c r="D25" i="12"/>
  <c r="E27" i="12" s="1"/>
  <c r="E74" i="12" s="1"/>
  <c r="E76" i="12" s="1"/>
  <c r="O25" i="12"/>
  <c r="N25" i="12"/>
  <c r="J25" i="12"/>
  <c r="F25" i="12"/>
  <c r="G27" i="12" s="1"/>
  <c r="G74" i="12" s="1"/>
  <c r="G76" i="12" s="1"/>
  <c r="G25" i="12"/>
  <c r="Q25" i="12"/>
  <c r="M25" i="12"/>
  <c r="I25" i="12"/>
  <c r="E25" i="12"/>
  <c r="K25" i="12"/>
  <c r="J74" i="12"/>
  <c r="J76" i="12" s="1"/>
  <c r="D83" i="12"/>
  <c r="D85" i="12" s="1"/>
  <c r="D74" i="12"/>
  <c r="D76" i="12" s="1"/>
  <c r="P16" i="7"/>
  <c r="Q10" i="7"/>
  <c r="Q23" i="5"/>
  <c r="Q55" i="5" s="1"/>
  <c r="R17" i="5"/>
  <c r="Q19" i="5"/>
  <c r="P25" i="5"/>
  <c r="P51" i="5"/>
  <c r="P57" i="5" s="1"/>
  <c r="O51" i="3"/>
  <c r="O57" i="3" s="1"/>
  <c r="O25" i="3"/>
  <c r="P23" i="3"/>
  <c r="P55" i="3" s="1"/>
  <c r="Q17" i="3"/>
  <c r="P19" i="3"/>
  <c r="Q64" i="7" l="1"/>
  <c r="Q74" i="7"/>
  <c r="P17" i="7"/>
  <c r="P33" i="7"/>
  <c r="O21" i="7"/>
  <c r="O34" i="7"/>
  <c r="O38" i="7" s="1"/>
  <c r="D78" i="12"/>
  <c r="D87" i="12"/>
  <c r="D28" i="12"/>
  <c r="D29" i="12" s="1"/>
  <c r="D45" i="12"/>
  <c r="D46" i="12" s="1"/>
  <c r="Q16" i="7"/>
  <c r="Q25" i="5"/>
  <c r="Q51" i="5"/>
  <c r="Q57" i="5" s="1"/>
  <c r="S17" i="5"/>
  <c r="R23" i="5"/>
  <c r="R55" i="5" s="1"/>
  <c r="R19" i="5"/>
  <c r="P51" i="3"/>
  <c r="P57" i="3" s="1"/>
  <c r="P25" i="3"/>
  <c r="Q23" i="3"/>
  <c r="Q55" i="3" s="1"/>
  <c r="R17" i="3"/>
  <c r="Q19" i="3"/>
  <c r="Q17" i="7" l="1"/>
  <c r="Q33" i="7"/>
  <c r="P21" i="7"/>
  <c r="P34" i="7"/>
  <c r="P38" i="7" s="1"/>
  <c r="S23" i="5"/>
  <c r="S55" i="5" s="1"/>
  <c r="T17" i="5"/>
  <c r="S19" i="5"/>
  <c r="R25" i="5"/>
  <c r="R51" i="5"/>
  <c r="R57" i="5" s="1"/>
  <c r="Q51" i="3"/>
  <c r="Q57" i="3" s="1"/>
  <c r="Q25" i="3"/>
  <c r="S17" i="3"/>
  <c r="R23" i="3"/>
  <c r="R55" i="3" s="1"/>
  <c r="R19" i="3"/>
  <c r="Q21" i="7" l="1"/>
  <c r="D22" i="7" s="1"/>
  <c r="Q34" i="7"/>
  <c r="Q38" i="7" s="1"/>
  <c r="D39" i="7" s="1"/>
  <c r="S51" i="5"/>
  <c r="S57" i="5" s="1"/>
  <c r="S25" i="5"/>
  <c r="T19" i="5"/>
  <c r="T23" i="5"/>
  <c r="T55" i="5" s="1"/>
  <c r="S23" i="3"/>
  <c r="S55" i="3" s="1"/>
  <c r="T17" i="3"/>
  <c r="S19" i="3"/>
  <c r="R51" i="3"/>
  <c r="R57" i="3" s="1"/>
  <c r="R25" i="3"/>
  <c r="N24" i="7" l="1"/>
  <c r="N27" i="7" s="1"/>
  <c r="N65" i="7" s="1"/>
  <c r="N67" i="7" s="1"/>
  <c r="Q24" i="7"/>
  <c r="D24" i="7"/>
  <c r="D27" i="7" s="1"/>
  <c r="J24" i="7"/>
  <c r="M24" i="7"/>
  <c r="P24" i="7"/>
  <c r="I24" i="7"/>
  <c r="I27" i="7" s="1"/>
  <c r="I65" i="7" s="1"/>
  <c r="I67" i="7" s="1"/>
  <c r="O24" i="7"/>
  <c r="O27" i="7" s="1"/>
  <c r="O65" i="7" s="1"/>
  <c r="O67" i="7" s="1"/>
  <c r="F24" i="7"/>
  <c r="L24" i="7"/>
  <c r="L27" i="7" s="1"/>
  <c r="L65" i="7" s="1"/>
  <c r="L67" i="7" s="1"/>
  <c r="P27" i="7"/>
  <c r="P65" i="7" s="1"/>
  <c r="P67" i="7" s="1"/>
  <c r="E24" i="7"/>
  <c r="E27" i="7" s="1"/>
  <c r="E65" i="7" s="1"/>
  <c r="E67" i="7" s="1"/>
  <c r="H24" i="7"/>
  <c r="H27" i="7" s="1"/>
  <c r="H65" i="7" s="1"/>
  <c r="H67" i="7" s="1"/>
  <c r="K24" i="7"/>
  <c r="K27" i="7" s="1"/>
  <c r="K65" i="7" s="1"/>
  <c r="K67" i="7" s="1"/>
  <c r="G24" i="7"/>
  <c r="G27" i="7" s="1"/>
  <c r="G65" i="7" s="1"/>
  <c r="G67" i="7" s="1"/>
  <c r="E41" i="7"/>
  <c r="O41" i="7"/>
  <c r="O44" i="7" s="1"/>
  <c r="O75" i="7" s="1"/>
  <c r="O77" i="7" s="1"/>
  <c r="D41" i="7"/>
  <c r="Q41" i="7"/>
  <c r="H41" i="7"/>
  <c r="H44" i="7" s="1"/>
  <c r="H75" i="7" s="1"/>
  <c r="H77" i="7" s="1"/>
  <c r="N41" i="7"/>
  <c r="N44" i="7" s="1"/>
  <c r="N75" i="7" s="1"/>
  <c r="N77" i="7" s="1"/>
  <c r="M41" i="7"/>
  <c r="M44" i="7" s="1"/>
  <c r="M75" i="7" s="1"/>
  <c r="M77" i="7" s="1"/>
  <c r="K41" i="7"/>
  <c r="K44" i="7" s="1"/>
  <c r="K75" i="7" s="1"/>
  <c r="K77" i="7" s="1"/>
  <c r="G41" i="7"/>
  <c r="G44" i="7" s="1"/>
  <c r="G75" i="7" s="1"/>
  <c r="G77" i="7" s="1"/>
  <c r="J41" i="7"/>
  <c r="I41" i="7"/>
  <c r="P41" i="7"/>
  <c r="P44" i="7" s="1"/>
  <c r="P75" i="7" s="1"/>
  <c r="P77" i="7" s="1"/>
  <c r="F41" i="7"/>
  <c r="L41" i="7"/>
  <c r="L44" i="7" s="1"/>
  <c r="L75" i="7" s="1"/>
  <c r="L77" i="7" s="1"/>
  <c r="T25" i="5"/>
  <c r="F27" i="5" s="1"/>
  <c r="T51" i="5"/>
  <c r="T57" i="5" s="1"/>
  <c r="F59" i="5" s="1"/>
  <c r="S51" i="3"/>
  <c r="S57" i="3" s="1"/>
  <c r="S25" i="3"/>
  <c r="T23" i="3"/>
  <c r="T55" i="3" s="1"/>
  <c r="T19" i="3"/>
  <c r="D44" i="7" l="1"/>
  <c r="H42" i="7"/>
  <c r="I44" i="7" s="1"/>
  <c r="I75" i="7" s="1"/>
  <c r="I77" i="7" s="1"/>
  <c r="G42" i="7"/>
  <c r="D42" i="7"/>
  <c r="E44" i="7" s="1"/>
  <c r="E75" i="7" s="1"/>
  <c r="E77" i="7" s="1"/>
  <c r="E42" i="7"/>
  <c r="F44" i="7" s="1"/>
  <c r="F75" i="7" s="1"/>
  <c r="F77" i="7" s="1"/>
  <c r="N42" i="7"/>
  <c r="Q42" i="7"/>
  <c r="O42" i="7"/>
  <c r="J42" i="7"/>
  <c r="P42" i="7"/>
  <c r="Q44" i="7" s="1"/>
  <c r="Q75" i="7" s="1"/>
  <c r="Q77" i="7" s="1"/>
  <c r="L42" i="7"/>
  <c r="M42" i="7"/>
  <c r="K42" i="7"/>
  <c r="F42" i="7"/>
  <c r="I42" i="7"/>
  <c r="E25" i="7"/>
  <c r="F27" i="7" s="1"/>
  <c r="F65" i="7" s="1"/>
  <c r="F67" i="7" s="1"/>
  <c r="J25" i="7"/>
  <c r="F25" i="7"/>
  <c r="Q25" i="7"/>
  <c r="I25" i="7"/>
  <c r="J27" i="7" s="1"/>
  <c r="J65" i="7" s="1"/>
  <c r="J67" i="7" s="1"/>
  <c r="G25" i="7"/>
  <c r="P25" i="7"/>
  <c r="Q27" i="7" s="1"/>
  <c r="Q65" i="7" s="1"/>
  <c r="Q67" i="7" s="1"/>
  <c r="L25" i="7"/>
  <c r="M27" i="7" s="1"/>
  <c r="M65" i="7" s="1"/>
  <c r="M67" i="7" s="1"/>
  <c r="H25" i="7"/>
  <c r="D25" i="7"/>
  <c r="M25" i="7"/>
  <c r="N25" i="7"/>
  <c r="O25" i="7"/>
  <c r="K25" i="7"/>
  <c r="T51" i="3"/>
  <c r="T57" i="3" s="1"/>
  <c r="F59" i="3" s="1"/>
  <c r="D6" i="4" s="1"/>
  <c r="D8" i="4" s="1"/>
  <c r="T25" i="3"/>
  <c r="F27" i="3" s="1"/>
  <c r="C6" i="4" s="1"/>
  <c r="C8" i="4" s="1"/>
  <c r="J44" i="7" l="1"/>
  <c r="J75" i="7" s="1"/>
  <c r="J77" i="7" s="1"/>
  <c r="D75" i="7"/>
  <c r="D77" i="7" s="1"/>
  <c r="D65" i="7"/>
  <c r="D67" i="7" s="1"/>
  <c r="D69" i="7" s="1"/>
  <c r="D28" i="7"/>
  <c r="D29" i="7" s="1"/>
  <c r="D45" i="7" l="1"/>
  <c r="D79" i="7"/>
  <c r="D46" i="7" l="1"/>
</calcChain>
</file>

<file path=xl/comments1.xml><?xml version="1.0" encoding="utf-8"?>
<comments xmlns="http://schemas.openxmlformats.org/spreadsheetml/2006/main">
  <authors>
    <author>Claudia Bracco</author>
  </authors>
  <commentList>
    <comment ref="E26" authorId="0" shapeId="0">
      <text>
        <r>
          <rPr>
            <b/>
            <sz val="9"/>
            <color indexed="81"/>
            <rFont val="Tahoma"/>
            <family val="2"/>
          </rPr>
          <t xml:space="preserve">IM: </t>
        </r>
        <r>
          <rPr>
            <sz val="9"/>
            <color indexed="81"/>
            <rFont val="Tahoma"/>
            <family val="2"/>
          </rPr>
          <t xml:space="preserve">http://www.bcu.gub.uy/Paginas/Default.aspx
</t>
        </r>
      </text>
    </comment>
    <comment ref="F26" authorId="0" shapeId="0">
      <text>
        <r>
          <rPr>
            <b/>
            <sz val="9"/>
            <color indexed="81"/>
            <rFont val="Tahoma"/>
            <family val="2"/>
          </rPr>
          <t xml:space="preserve">IM: </t>
        </r>
        <r>
          <rPr>
            <sz val="9"/>
            <color indexed="81"/>
            <rFont val="Tahoma"/>
            <family val="2"/>
          </rPr>
          <t xml:space="preserve">http://www.bcu.gub.uy/Paginas/Default.aspx
</t>
        </r>
      </text>
    </comment>
    <comment ref="G26" authorId="0" shapeId="0">
      <text>
        <r>
          <rPr>
            <b/>
            <sz val="9"/>
            <color indexed="81"/>
            <rFont val="Tahoma"/>
            <family val="2"/>
          </rPr>
          <t>IM:</t>
        </r>
        <r>
          <rPr>
            <sz val="9"/>
            <color indexed="81"/>
            <rFont val="Tahoma"/>
            <family val="2"/>
          </rPr>
          <t xml:space="preserve"> O</t>
        </r>
      </text>
    </comment>
  </commentList>
</comments>
</file>

<file path=xl/comments2.xml><?xml version="1.0" encoding="utf-8"?>
<comments xmlns="http://schemas.openxmlformats.org/spreadsheetml/2006/main">
  <authors>
    <author>Claudia Bracco</author>
  </authors>
  <commentList>
    <comment ref="E25" authorId="0" shapeId="0">
      <text>
        <r>
          <rPr>
            <b/>
            <sz val="9"/>
            <color indexed="81"/>
            <rFont val="Tahoma"/>
            <family val="2"/>
          </rPr>
          <t xml:space="preserve">IM: </t>
        </r>
        <r>
          <rPr>
            <sz val="9"/>
            <color indexed="81"/>
            <rFont val="Tahoma"/>
            <family val="2"/>
          </rPr>
          <t xml:space="preserve">http://www.bcu.gub.uy/Paginas/Default.aspx
</t>
        </r>
      </text>
    </comment>
    <comment ref="F25" authorId="0" shapeId="0">
      <text>
        <r>
          <rPr>
            <b/>
            <sz val="9"/>
            <color indexed="81"/>
            <rFont val="Tahoma"/>
            <family val="2"/>
          </rPr>
          <t xml:space="preserve">IM: </t>
        </r>
        <r>
          <rPr>
            <sz val="9"/>
            <color indexed="81"/>
            <rFont val="Tahoma"/>
            <family val="2"/>
          </rPr>
          <t xml:space="preserve">http://www.bcu.gub.uy/Paginas/Default.aspx
</t>
        </r>
      </text>
    </comment>
    <comment ref="G25" authorId="0" shapeId="0">
      <text>
        <r>
          <rPr>
            <b/>
            <sz val="9"/>
            <color indexed="81"/>
            <rFont val="Tahoma"/>
            <family val="2"/>
          </rPr>
          <t>IM:</t>
        </r>
        <r>
          <rPr>
            <sz val="9"/>
            <color indexed="81"/>
            <rFont val="Tahoma"/>
            <family val="2"/>
          </rPr>
          <t xml:space="preserve"> O</t>
        </r>
      </text>
    </comment>
  </commentList>
</comments>
</file>

<file path=xl/comments3.xml><?xml version="1.0" encoding="utf-8"?>
<comments xmlns="http://schemas.openxmlformats.org/spreadsheetml/2006/main">
  <authors>
    <author>Claudia Bracco</author>
  </authors>
  <commentList>
    <comment ref="B47" authorId="0" shapeId="0">
      <text>
        <r>
          <rPr>
            <b/>
            <sz val="9"/>
            <color indexed="81"/>
            <rFont val="Tahoma"/>
            <family val="2"/>
          </rPr>
          <t>Claudia Bracco:</t>
        </r>
        <r>
          <rPr>
            <sz val="9"/>
            <color indexed="81"/>
            <rFont val="Tahoma"/>
            <family val="2"/>
          </rPr>
          <t xml:space="preserve">
ojo, esto es sólo de las 70 mil a sustituir, no de las 85mil</t>
        </r>
      </text>
    </comment>
  </commentList>
</comments>
</file>

<file path=xl/sharedStrings.xml><?xml version="1.0" encoding="utf-8"?>
<sst xmlns="http://schemas.openxmlformats.org/spreadsheetml/2006/main" count="786" uniqueCount="280">
  <si>
    <t>% ahorro</t>
  </si>
  <si>
    <t>Descripc.</t>
  </si>
  <si>
    <t>%a</t>
  </si>
  <si>
    <t>n</t>
  </si>
  <si>
    <t>A + k/4</t>
  </si>
  <si>
    <t>Variable</t>
  </si>
  <si>
    <t>vida útil en años</t>
  </si>
  <si>
    <t>Período repago en años</t>
  </si>
  <si>
    <t>Línea de base</t>
  </si>
  <si>
    <t>beta</t>
  </si>
  <si>
    <t>factor año 1</t>
  </si>
  <si>
    <t>Ahorro consumo</t>
  </si>
  <si>
    <t>Subsidio</t>
  </si>
  <si>
    <t>Repago</t>
  </si>
  <si>
    <t>Tasa dto</t>
  </si>
  <si>
    <t>Flujo de Fondos para la evaluación</t>
  </si>
  <si>
    <t>Año</t>
  </si>
  <si>
    <t>P</t>
  </si>
  <si>
    <t>Tamaño del parque de Montevideo</t>
  </si>
  <si>
    <t>Interior</t>
  </si>
  <si>
    <t>Sumatoria indices mejora ponderados por tamaño del parque del Interior</t>
  </si>
  <si>
    <t>Montevideo</t>
  </si>
  <si>
    <t>% del parque total</t>
  </si>
  <si>
    <t>Parque MVD</t>
  </si>
  <si>
    <t>Monto disponible primer componente subsidio (40% fact)</t>
  </si>
  <si>
    <t>$ MM (ene 2015)</t>
  </si>
  <si>
    <t>Facturación país</t>
  </si>
  <si>
    <t>Facturación MVD</t>
  </si>
  <si>
    <t>Facturación MVD según línea de base</t>
  </si>
  <si>
    <t>$ MM (ene 2016)</t>
  </si>
  <si>
    <t>Inflación ene/15 - ene/16</t>
  </si>
  <si>
    <t>IPC ene 15</t>
  </si>
  <si>
    <t>IPC ene 16</t>
  </si>
  <si>
    <t>Facturación MVD según cifras parque OPP</t>
  </si>
  <si>
    <t>número de luminarias</t>
  </si>
  <si>
    <t>ok</t>
  </si>
  <si>
    <t>Cotiz UI</t>
  </si>
  <si>
    <t>UI MM</t>
  </si>
  <si>
    <t>Consumo en UI MM</t>
  </si>
  <si>
    <t>Estimación impacto indirecto por Subsidio al alumbrado:</t>
  </si>
  <si>
    <t>Cotiz UI 01/01/15</t>
  </si>
  <si>
    <t xml:space="preserve">Monto subsidio a distribuir (en $MM de ene-15) </t>
  </si>
  <si>
    <t>Subsidio total $MM</t>
  </si>
  <si>
    <t>Subsidio total UI MM</t>
  </si>
  <si>
    <t>Flujo de Fondos sin subsidio, en UI MM</t>
  </si>
  <si>
    <t>% parque pasado a LED</t>
  </si>
  <si>
    <t>Maldonado</t>
  </si>
  <si>
    <t>Tamaño parque Maldonado</t>
  </si>
  <si>
    <t>% ahorro (indice de mejora)</t>
  </si>
  <si>
    <t>IxP Maldonado</t>
  </si>
  <si>
    <t>Resto país (sin maldonado)</t>
  </si>
  <si>
    <t>Tamaño parque</t>
  </si>
  <si>
    <t>Σ IxP interior sin maldonado</t>
  </si>
  <si>
    <t>Interior (Σ IxP interior)</t>
  </si>
  <si>
    <t>%sustitución a LED</t>
  </si>
  <si>
    <t>% subsidio MVD</t>
  </si>
  <si>
    <t>Subsidio MVD</t>
  </si>
  <si>
    <t>I.</t>
  </si>
  <si>
    <t>II.</t>
  </si>
  <si>
    <t>III.</t>
  </si>
  <si>
    <t>Flujo de Fondos con subsidio, en UI MM</t>
  </si>
  <si>
    <t>Oferta 1</t>
  </si>
  <si>
    <t>Oferta 2</t>
  </si>
  <si>
    <t>FF sin subsidio</t>
  </si>
  <si>
    <t>FF con subsidio</t>
  </si>
  <si>
    <t>VAN de las ofertas según escenario</t>
  </si>
  <si>
    <t>Evaluación</t>
  </si>
  <si>
    <t>Comparativo entre ofertas según se considere o excluya el subsidio :</t>
  </si>
  <si>
    <t>USD MM</t>
  </si>
  <si>
    <t>Incrementado 50% : USD MM</t>
  </si>
  <si>
    <t>k</t>
  </si>
  <si>
    <t>β</t>
  </si>
  <si>
    <t>Factor sustitución año 1</t>
  </si>
  <si>
    <t>(incluyen iva?)</t>
  </si>
  <si>
    <t>ahorro equivalente</t>
  </si>
  <si>
    <t>Cantidad_LED</t>
  </si>
  <si>
    <t>Cantidad_otras</t>
  </si>
  <si>
    <t>Cantidad_total</t>
  </si>
  <si>
    <t>Artigas</t>
  </si>
  <si>
    <t>Canelones</t>
  </si>
  <si>
    <t>Cerro Largo</t>
  </si>
  <si>
    <t>Colonia</t>
  </si>
  <si>
    <t>Durazno</t>
  </si>
  <si>
    <t>Flores</t>
  </si>
  <si>
    <t>Florida</t>
  </si>
  <si>
    <t>Lavalleja</t>
  </si>
  <si>
    <t>Paysandú</t>
  </si>
  <si>
    <t>Río Negro</t>
  </si>
  <si>
    <t>Rivera</t>
  </si>
  <si>
    <t>Rocha</t>
  </si>
  <si>
    <t>Salto</t>
  </si>
  <si>
    <t>San José</t>
  </si>
  <si>
    <t>Soriano</t>
  </si>
  <si>
    <t>Tacuarembó</t>
  </si>
  <si>
    <t>Treinta y Tres</t>
  </si>
  <si>
    <t>Departamento</t>
  </si>
  <si>
    <t>Depto_año</t>
  </si>
  <si>
    <r>
      <t>I</t>
    </r>
    <r>
      <rPr>
        <vertAlign val="subscript"/>
        <sz val="11"/>
        <color theme="1"/>
        <rFont val="Calibri"/>
        <family val="2"/>
      </rPr>
      <t>it</t>
    </r>
    <r>
      <rPr>
        <sz val="11"/>
        <color theme="1"/>
        <rFont val="Calibri"/>
        <family val="2"/>
        <scheme val="minor"/>
      </rPr>
      <t xml:space="preserve"> = %ahorro x %sust</t>
    </r>
  </si>
  <si>
    <r>
      <t xml:space="preserve">% subsidio </t>
    </r>
    <r>
      <rPr>
        <vertAlign val="subscript"/>
        <sz val="11"/>
        <color theme="1"/>
        <rFont val="Calibri"/>
        <family val="2"/>
      </rPr>
      <t>it</t>
    </r>
  </si>
  <si>
    <r>
      <t>I</t>
    </r>
    <r>
      <rPr>
        <vertAlign val="subscript"/>
        <sz val="11"/>
        <color theme="1"/>
        <rFont val="Calibri"/>
        <family val="2"/>
      </rPr>
      <t>it</t>
    </r>
    <r>
      <rPr>
        <sz val="11"/>
        <color theme="1"/>
        <rFont val="Calibri"/>
        <family val="2"/>
        <scheme val="minor"/>
      </rPr>
      <t xml:space="preserve"> x P</t>
    </r>
    <r>
      <rPr>
        <vertAlign val="subscript"/>
        <sz val="11"/>
        <color theme="1"/>
        <rFont val="Calibri"/>
        <family val="2"/>
        <scheme val="minor"/>
      </rPr>
      <t>it</t>
    </r>
  </si>
  <si>
    <t>% participación parque</t>
  </si>
  <si>
    <t>Tasa de descuento</t>
  </si>
  <si>
    <t>Cuota</t>
  </si>
  <si>
    <t>UI</t>
  </si>
  <si>
    <t>Año línea de base</t>
  </si>
  <si>
    <r>
      <t>% sustitución OTRAS</t>
    </r>
    <r>
      <rPr>
        <vertAlign val="subscript"/>
        <sz val="11"/>
        <color theme="1"/>
        <rFont val="Calibri"/>
        <family val="2"/>
        <scheme val="minor"/>
      </rPr>
      <t>(t-1)</t>
    </r>
    <r>
      <rPr>
        <vertAlign val="subscript"/>
        <sz val="11"/>
        <color theme="1"/>
        <rFont val="Calibri"/>
        <family val="2"/>
      </rPr>
      <t xml:space="preserve"> </t>
    </r>
    <r>
      <rPr>
        <sz val="11"/>
        <color theme="1"/>
        <rFont val="Calibri"/>
        <family val="2"/>
        <scheme val="minor"/>
      </rPr>
      <t>a LED en año t</t>
    </r>
  </si>
  <si>
    <t>% sustitución OTRAS vs LÍNEA BASE</t>
  </si>
  <si>
    <t>% ahorro consumo por lumin. Sust.</t>
  </si>
  <si>
    <t>FF</t>
  </si>
  <si>
    <t xml:space="preserve">Valor actual </t>
  </si>
  <si>
    <t>Período repago</t>
  </si>
  <si>
    <t xml:space="preserve">Tasa interés </t>
  </si>
  <si>
    <t>Ahorro</t>
  </si>
  <si>
    <t>Ahorro anual</t>
  </si>
  <si>
    <t>Cuota anual</t>
  </si>
  <si>
    <t>Si</t>
  </si>
  <si>
    <t>No</t>
  </si>
  <si>
    <t>Seleccionar</t>
  </si>
  <si>
    <t>Micro</t>
  </si>
  <si>
    <t>Pequeña</t>
  </si>
  <si>
    <t>Mediana</t>
  </si>
  <si>
    <t>Cuota repago</t>
  </si>
  <si>
    <t>Driver</t>
  </si>
  <si>
    <t>Placa de Led</t>
  </si>
  <si>
    <t>ITEMS</t>
  </si>
  <si>
    <t>Descripción</t>
  </si>
  <si>
    <t>Cantidad</t>
  </si>
  <si>
    <t>Total</t>
  </si>
  <si>
    <t>Luminarias Tipo 1</t>
  </si>
  <si>
    <t>Moneda de cotización</t>
  </si>
  <si>
    <t>$</t>
  </si>
  <si>
    <t>USD</t>
  </si>
  <si>
    <t>EUR</t>
  </si>
  <si>
    <t>Otra (especificar)</t>
  </si>
  <si>
    <t>Especificar otra</t>
  </si>
  <si>
    <t>MONEDA</t>
  </si>
  <si>
    <t>Plaza</t>
  </si>
  <si>
    <t>Componentes de cotización obligatoria</t>
  </si>
  <si>
    <t>Moneda de Cotización 
(MC)</t>
  </si>
  <si>
    <t>Modalidad de cotización</t>
  </si>
  <si>
    <t>DAP (Incoterms 2010)</t>
  </si>
  <si>
    <t>DDU (Incoterms 2000)</t>
  </si>
  <si>
    <t>Precio Unitario 
(sin Impuestos), en MC</t>
  </si>
  <si>
    <t>Precio Total 
(sin impuestos), en MC</t>
  </si>
  <si>
    <t xml:space="preserve">SI TIENE CERTIFICADO </t>
  </si>
  <si>
    <t>REF A DEC</t>
  </si>
  <si>
    <t>Luminarias Tipo 2</t>
  </si>
  <si>
    <t>Luminarias Tipo 3</t>
  </si>
  <si>
    <t>Luminarias Tipo 4</t>
  </si>
  <si>
    <t>SGLI</t>
  </si>
  <si>
    <t>Analizadores de redes</t>
  </si>
  <si>
    <t>Retiro e instalación</t>
  </si>
  <si>
    <t>TAMAÑO</t>
  </si>
  <si>
    <t>MODALIDAD</t>
  </si>
  <si>
    <t>Razón social</t>
  </si>
  <si>
    <t>ANEXO N° 7 - FORMULARIO DE COTIZACIÓN</t>
  </si>
  <si>
    <t>Participación en 
consorcio (%)</t>
  </si>
  <si>
    <t>Tamaño de la empresa 
(Dec 504/007)</t>
  </si>
  <si>
    <t>1.2.</t>
  </si>
  <si>
    <t>1.</t>
  </si>
  <si>
    <t>2.</t>
  </si>
  <si>
    <t>2.1.</t>
  </si>
  <si>
    <t>2.2.</t>
  </si>
  <si>
    <t>3.</t>
  </si>
  <si>
    <t>¿Aplica mecanismo reserva mercado (Art. 43 Ley 18.362)? (Si/No)</t>
  </si>
  <si>
    <t>3.1.</t>
  </si>
  <si>
    <t>3.2.</t>
  </si>
  <si>
    <t>Grande</t>
  </si>
  <si>
    <t>EA</t>
  </si>
  <si>
    <t>Energía ahorrada esperada una vez instalado el 100% del parque ofertado, expresado en kWh/año</t>
  </si>
  <si>
    <r>
      <t>P</t>
    </r>
    <r>
      <rPr>
        <vertAlign val="subscript"/>
        <sz val="11"/>
        <color theme="1"/>
        <rFont val="Times New Roman"/>
        <family val="1"/>
      </rPr>
      <t>LED</t>
    </r>
  </si>
  <si>
    <t>Datos para la determinación de los ahorros correspondientes a la Cotización 1</t>
  </si>
  <si>
    <t>Datos para la determinación de los ahorros correspondientes a la Cotización 2</t>
  </si>
  <si>
    <t>Potencia promedio por luminaria LED correspondiente a la oferta de la Cotización 2, expresada en W</t>
  </si>
  <si>
    <t>Potencia promedio por luminaria LED correspondiente a la oferta de la Cotización 1, expresada en W</t>
  </si>
  <si>
    <t>Supuestos para la simulación del VAN</t>
  </si>
  <si>
    <t>Supuestos aplicables a la Cotización 1</t>
  </si>
  <si>
    <r>
      <t>P</t>
    </r>
    <r>
      <rPr>
        <vertAlign val="subscript"/>
        <sz val="11"/>
        <color theme="1"/>
        <rFont val="Times New Roman"/>
        <family val="1"/>
      </rPr>
      <t>LB</t>
    </r>
  </si>
  <si>
    <t>TPP UI</t>
  </si>
  <si>
    <t>1.1.</t>
  </si>
  <si>
    <t>Estimación de los ahorros</t>
  </si>
  <si>
    <t>Tarifa promedio ponderada de UTE en UI correspondiente a la Cotización, vigente al 01/01/2016</t>
  </si>
  <si>
    <t>horas año</t>
  </si>
  <si>
    <t>horas esperadas de funcionamiento anual</t>
  </si>
  <si>
    <t>𝐴ℎ𝑜𝑟𝑟𝑜 𝑒𝑛 𝑈𝐼</t>
  </si>
  <si>
    <t>Monto de ahorro anual esperado una vez instalado el 100% del parque ofertado, expresado en UI.</t>
  </si>
  <si>
    <t>Potencia promedio por luminaria correspondiente a la línea de base de la Cotización 1, expresada en W</t>
  </si>
  <si>
    <t>COTIZACION 1</t>
  </si>
  <si>
    <t>% repago</t>
  </si>
  <si>
    <t>Porcentaje del ahorro destinado al repago de la Cotización 1</t>
  </si>
  <si>
    <t>Tasa de descuento de los flujos de fondos para la determinación del VAN</t>
  </si>
  <si>
    <t>Precio contado Cotización</t>
  </si>
  <si>
    <t>Período de repago</t>
  </si>
  <si>
    <t>VAN repago hasta año t</t>
  </si>
  <si>
    <t>Cuota repago preliminar</t>
  </si>
  <si>
    <t>Cuota repago hasta cancelar precio</t>
  </si>
  <si>
    <t>Ahorro destinable a repago</t>
  </si>
  <si>
    <t>VAN ahorro destinable a repago hasta año t</t>
  </si>
  <si>
    <t>VAN repago</t>
  </si>
  <si>
    <t xml:space="preserve">check </t>
  </si>
  <si>
    <t>Aplicación de beneficio de preferencia sobre precio a Industra Nacional y/o MIPYMES</t>
  </si>
  <si>
    <t>Categoría / Preferencia Ind Nac</t>
  </si>
  <si>
    <t>Cotización</t>
  </si>
  <si>
    <t>Tamaño</t>
  </si>
  <si>
    <t>% preferencia</t>
  </si>
  <si>
    <t>Precio total (sin IVA, en UI)</t>
  </si>
  <si>
    <t>Precio con ajuste preferencia sobre precio (sin IVA, en UI)</t>
  </si>
  <si>
    <t>FF con beneficio preferencia de precio</t>
  </si>
  <si>
    <t>VAN con beneficio de preferencia de precio</t>
  </si>
  <si>
    <t>COTIZACION 2</t>
  </si>
  <si>
    <t>Supuestos aplicables a la Cotización 2</t>
  </si>
  <si>
    <t>Potencia promedio por luminaria correspondiente a la línea de base de la Cotización 2, expresada en W</t>
  </si>
  <si>
    <t>Porcentaje del ahorro destinado al repago de la Cotización 2</t>
  </si>
  <si>
    <t>Precio total 
(sin IVA, en UI)</t>
  </si>
  <si>
    <t>Origen Nacional (Si/No)</t>
  </si>
  <si>
    <t>% del precio que NO califica como nacional</t>
  </si>
  <si>
    <t>Tamaño de la empresa que produce el bien o provee el servicio
(Dec 504/007)</t>
  </si>
  <si>
    <t>Tamaño de la empresa que produce el bien o provee el servicio
(Dec 504/007)*</t>
  </si>
  <si>
    <t>Componente</t>
  </si>
  <si>
    <t>Precio FOB</t>
  </si>
  <si>
    <t>Flete internacional</t>
  </si>
  <si>
    <t>Seguro</t>
  </si>
  <si>
    <t>Total CIF</t>
  </si>
  <si>
    <t>Flete interno</t>
  </si>
  <si>
    <t>Total DAP o DDU</t>
  </si>
  <si>
    <t>En caso de cotización no plaza (DAP/DDU)</t>
  </si>
  <si>
    <t>Concepto</t>
  </si>
  <si>
    <t>* Se considerarán empresas "Grandes" aquellas que no queden comprendidas en ninguna de las categorías establecidas por el Dec 504/007</t>
  </si>
  <si>
    <t>Oferta de precio</t>
  </si>
  <si>
    <t>2.1.2.</t>
  </si>
  <si>
    <t>COTIZACIÓN 2</t>
  </si>
  <si>
    <t>COTIZACIÓN 1</t>
  </si>
  <si>
    <t>IDENTIFICACIÓN DE LA O LAS EMPRESAS QUE PARTICIPAN EN LA OFERTA</t>
  </si>
  <si>
    <t>PRECIO DE LOS BIENES Y SERVICIOS QUE INTEGRAN LA OFERTA</t>
  </si>
  <si>
    <t>Módulo de Control</t>
  </si>
  <si>
    <t>Concentrador</t>
  </si>
  <si>
    <t>OFERTA DE AHORROS</t>
  </si>
  <si>
    <t>FF antes de la aplicación del Régimen de preferencia en el precio</t>
  </si>
  <si>
    <t>VAN antes del beneficio de preferencia de precio</t>
  </si>
  <si>
    <t>Precio ofertado en Unidades Indexadas</t>
  </si>
  <si>
    <t>1.3.</t>
  </si>
  <si>
    <t>Simulación de aplicación mecanismos de preferencia en el precio a la industria nacional y/o MIPYMES</t>
  </si>
  <si>
    <t>2.1.1.</t>
  </si>
  <si>
    <t>2.1.3.</t>
  </si>
  <si>
    <t>2.2.1.</t>
  </si>
  <si>
    <t>2.2.2.</t>
  </si>
  <si>
    <t>2.2.3.</t>
  </si>
  <si>
    <t>RESERVA MERCADO</t>
  </si>
  <si>
    <t>PREFERENCIA PRECIO</t>
  </si>
  <si>
    <r>
      <rPr>
        <b/>
        <sz val="11"/>
        <rFont val="Times New Roman"/>
        <family val="1"/>
      </rPr>
      <t>Nota importante:</t>
    </r>
    <r>
      <rPr>
        <sz val="11"/>
        <rFont val="Times New Roman"/>
        <family val="1"/>
      </rPr>
      <t xml:space="preserve">
La simulación del VAN que incluye los beneficios de preferencia en el precio se presenta exclusivamente a modo expositivo. 
Los resultados de las simulaciones realizadas por los oferentes no tendrán carácter vinculante en la evaluación de las ofertas. En este sentido, la evaluación de la efectiva aplicabilidad de los regímenes correspondientes será contrastada por la IM a partir de la documentación formal que presenten todos los oferentes, de acuerdo a lo requerido por la normativa vigente.</t>
    </r>
  </si>
  <si>
    <t>¿Desea simular la aplicación del beneficio de preferencia en el precio a las MIPYMES, previsto por el Art. 43 de la Ley 18.362 y Decreto 371/010 y 164/013?</t>
  </si>
  <si>
    <t>¿Desea simular la aplicación del régimen de preferencia en el precio a la Industria Nacional, previsto por el Art. 41 de la Ley 18.362 y Decretos 013/009 y 164/013?</t>
  </si>
  <si>
    <t>i)</t>
  </si>
  <si>
    <t>ii)</t>
  </si>
  <si>
    <t>1.4.</t>
  </si>
  <si>
    <t>Simulación de precio para la evaluación (incluye beneficios Industra Nacional y/o MIPYMES)</t>
  </si>
  <si>
    <t>Precio total
(sin impuestos, en UI)</t>
  </si>
  <si>
    <t>Precio total con preferencia en el precio 
(sin impuestos, en UI)</t>
  </si>
  <si>
    <t>Precio Total
(sin impuestos), en UI*</t>
  </si>
  <si>
    <t>* Nota: La conversión a Unidades Indexadas se presenta a modo expositivo. A los efectos de la evaluación de las ofertas, se convertirán los precios incluidos en la cotización (expresados en pesos uruguayos, dólares o moneda del país de origen, según la condición) a Unidades Indexadas, según las cotizaciones vigentes al día anterior de la fecha de apertura de la licitación publicadas por el Banco Central del Uruguay.</t>
  </si>
  <si>
    <t>FLUJO DE FONDOS PARA LA EVALUACIÓN</t>
  </si>
  <si>
    <t>b</t>
  </si>
  <si>
    <t xml:space="preserve">% de bonificación neta (+) ó  recargo neto (-) promedio de UTE por consumos reactivos </t>
  </si>
  <si>
    <t>AHORRO</t>
  </si>
  <si>
    <t>DETERMINACIÓN DEL REPAGO</t>
  </si>
  <si>
    <t>Ahorro en el consumo</t>
  </si>
  <si>
    <t>Antes de la aplicación del Régimen de preferencia en el precio</t>
  </si>
  <si>
    <t>Año de repago (Si=1/No=0)</t>
  </si>
  <si>
    <t>años</t>
  </si>
  <si>
    <t>Simulando aplicación del mecanismo de preferencia en el precio</t>
  </si>
  <si>
    <t>Precio contado Cotización (con beneficio de preferencia)</t>
  </si>
  <si>
    <t>FLUJO DE FONDOS ANTES DE LA APLICACIÓN DEL RÉGIMEN DE PREFERENCIA EN EL PRECIO</t>
  </si>
  <si>
    <t>FLUJO DE FONDOS CON SIMULACIÓN DE APLICACIÓN DEL RÉGIMEN DE PREFERENCIA EN EL PRECIO</t>
  </si>
  <si>
    <t>FLUJO DE FONDOS PARA LA EVALUACIÓN Y VALOR ACTUAL NETO</t>
  </si>
  <si>
    <t>Cotización $/MC a la fecha de simulación</t>
  </si>
  <si>
    <t>Cotización $/UI a la fecha de simulación</t>
  </si>
  <si>
    <t xml:space="preserve">Cantidad de luminarias ofertadas en la Cotización 1, de acuerdo a lo establecido en el Anexo 6 </t>
  </si>
  <si>
    <t>Cantidad de luminarias ofertadas en la Cotización 2</t>
  </si>
  <si>
    <t xml:space="preserve">Cantidad de luminarias ofertadas de la Cotización 1, de acuerdo a lo establecido en el Anexo 6 </t>
  </si>
  <si>
    <t>Cantidad de luminarias ofertadas de la Cotización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</si>
</sst>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_-* #,##0\ _€_-;\-* #,##0\ _€_-;_-* &quot;-&quot;??\ _€_-;_-@_-"/>
    <numFmt numFmtId="166" formatCode="0.00_)"/>
    <numFmt numFmtId="167" formatCode="0.0%"/>
    <numFmt numFmtId="168" formatCode="#,##0.00_ ;\-#,##0.00\ "/>
    <numFmt numFmtId="169" formatCode="_-* #,##0.0\ _€_-;\-* #,##0.0\ _€_-;_-* &quot;-&quot;??\ _€_-;_-@_-"/>
    <numFmt numFmtId="170" formatCode="_-* #,##0.0\ _€_-;\-* #,##0.0\ _€_-;_-* &quot;-&quot;?\ _€_-;_-@_-"/>
    <numFmt numFmtId="171" formatCode="_-* #,##0.000\ _€_-;\-* #,##0.000\ _€_-;_-* &quot;-&quot;??\ _€_-;_-@_-"/>
    <numFmt numFmtId="172" formatCode="0.000%"/>
  </numFmts>
  <fonts count="38"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sz val="9"/>
      <color indexed="8"/>
      <name val="Arial"/>
      <family val="2"/>
    </font>
    <font>
      <i/>
      <sz val="11"/>
      <color rgb="FFFF0000"/>
      <name val="Calibri"/>
      <family val="2"/>
      <scheme val="minor"/>
    </font>
    <font>
      <sz val="9"/>
      <name val="Arial"/>
      <family val="2"/>
    </font>
    <font>
      <sz val="9"/>
      <color indexed="81"/>
      <name val="Tahoma"/>
      <family val="2"/>
    </font>
    <font>
      <b/>
      <sz val="9"/>
      <color indexed="81"/>
      <name val="Tahoma"/>
      <family val="2"/>
    </font>
    <font>
      <u/>
      <sz val="11"/>
      <color theme="1"/>
      <name val="Calibri"/>
      <family val="2"/>
      <scheme val="minor"/>
    </font>
    <font>
      <sz val="11"/>
      <color theme="4" tint="-0.499984740745262"/>
      <name val="Calibri"/>
      <family val="2"/>
      <scheme val="minor"/>
    </font>
    <font>
      <b/>
      <sz val="11"/>
      <color theme="4" tint="-0.499984740745262"/>
      <name val="Calibri"/>
      <family val="2"/>
      <scheme val="minor"/>
    </font>
    <font>
      <sz val="11"/>
      <color rgb="FFFA7D00"/>
      <name val="Calibri"/>
      <family val="2"/>
      <scheme val="minor"/>
    </font>
    <font>
      <sz val="11"/>
      <color rgb="FF3F3F3F"/>
      <name val="Calibri"/>
      <family val="2"/>
      <scheme val="minor"/>
    </font>
    <font>
      <vertAlign val="subscript"/>
      <sz val="11"/>
      <color theme="1"/>
      <name val="Calibri"/>
      <family val="2"/>
    </font>
    <font>
      <vertAlign val="subscript"/>
      <sz val="11"/>
      <color theme="1"/>
      <name val="Calibri"/>
      <family val="2"/>
      <scheme val="minor"/>
    </font>
    <font>
      <b/>
      <u/>
      <sz val="11"/>
      <color theme="1"/>
      <name val="Times New Roman"/>
      <family val="1"/>
    </font>
    <font>
      <sz val="11"/>
      <color theme="1"/>
      <name val="Times New Roman"/>
      <family val="1"/>
    </font>
    <font>
      <b/>
      <sz val="11"/>
      <color theme="1"/>
      <name val="Times New Roman"/>
      <family val="1"/>
    </font>
    <font>
      <sz val="11"/>
      <color rgb="FFFF0000"/>
      <name val="Times New Roman"/>
      <family val="1"/>
    </font>
    <font>
      <b/>
      <sz val="14"/>
      <color theme="1"/>
      <name val="Times New Roman"/>
      <family val="1"/>
    </font>
    <font>
      <vertAlign val="subscript"/>
      <sz val="11"/>
      <color theme="1"/>
      <name val="Times New Roman"/>
      <family val="1"/>
    </font>
    <font>
      <sz val="16"/>
      <color theme="1"/>
      <name val="Times New Roman"/>
      <family val="1"/>
    </font>
    <font>
      <i/>
      <sz val="12"/>
      <color theme="1"/>
      <name val="Times New Roman"/>
      <family val="1"/>
    </font>
    <font>
      <b/>
      <sz val="11"/>
      <color rgb="FF3F3F3F"/>
      <name val="Times New Roman"/>
      <family val="1"/>
    </font>
    <font>
      <b/>
      <i/>
      <sz val="11"/>
      <color theme="1"/>
      <name val="Times New Roman"/>
      <family val="1"/>
    </font>
    <font>
      <i/>
      <sz val="11"/>
      <color rgb="FFFF0000"/>
      <name val="Times New Roman"/>
      <family val="1"/>
    </font>
    <font>
      <u/>
      <sz val="11"/>
      <color theme="10"/>
      <name val="Calibri"/>
      <family val="2"/>
      <scheme val="minor"/>
    </font>
    <font>
      <sz val="11"/>
      <color rgb="FF3F3F3F"/>
      <name val="Times New Roman"/>
      <family val="1"/>
    </font>
    <font>
      <i/>
      <sz val="11"/>
      <color theme="1"/>
      <name val="Times New Roman"/>
      <family val="1"/>
    </font>
    <font>
      <b/>
      <i/>
      <sz val="12"/>
      <color theme="1"/>
      <name val="Times New Roman"/>
      <family val="1"/>
    </font>
    <font>
      <sz val="11"/>
      <name val="Times New Roman"/>
      <family val="1"/>
    </font>
    <font>
      <b/>
      <sz val="11"/>
      <name val="Times New Roman"/>
      <family val="1"/>
    </font>
  </fonts>
  <fills count="15">
    <fill>
      <patternFill patternType="none"/>
    </fill>
    <fill>
      <patternFill patternType="gray125"/>
    </fill>
    <fill>
      <patternFill patternType="solid">
        <fgColor rgb="FFFFCC99"/>
      </patternFill>
    </fill>
    <fill>
      <patternFill patternType="solid">
        <fgColor rgb="FFF2F2F2"/>
      </patternFill>
    </fill>
    <fill>
      <patternFill patternType="solid">
        <fgColor theme="8" tint="0.59999389629810485"/>
        <bgColor indexed="64"/>
      </patternFill>
    </fill>
    <fill>
      <patternFill patternType="solid">
        <fgColor theme="4" tint="0.59999389629810485"/>
        <bgColor theme="4" tint="0.59999389629810485"/>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lightUp">
        <bgColor theme="0" tint="-4.9989318521683403E-2"/>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theme="0"/>
      </left>
      <right/>
      <top style="thin">
        <color theme="0"/>
      </top>
      <bottom/>
      <diagonal/>
    </border>
    <border>
      <left style="thin">
        <color theme="0"/>
      </left>
      <right/>
      <top/>
      <bottom/>
      <diagonal/>
    </border>
    <border>
      <left style="thin">
        <color theme="0"/>
      </left>
      <right/>
      <top style="medium">
        <color theme="0"/>
      </top>
      <bottom/>
      <diagonal/>
    </border>
    <border>
      <left style="thin">
        <color theme="0"/>
      </left>
      <right/>
      <top style="double">
        <color theme="8" tint="-0.499984740745262"/>
      </top>
      <bottom style="double">
        <color theme="8"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4" fillId="3" borderId="1" applyNumberFormat="0" applyAlignment="0" applyProtection="0"/>
    <xf numFmtId="0" fontId="32" fillId="0" borderId="0" applyNumberFormat="0" applyFill="0" applyBorder="0" applyAlignment="0" applyProtection="0"/>
  </cellStyleXfs>
  <cellXfs count="177">
    <xf numFmtId="0" fontId="0" fillId="0" borderId="0" xfId="0"/>
    <xf numFmtId="0" fontId="6" fillId="0" borderId="0" xfId="0" applyFont="1"/>
    <xf numFmtId="0" fontId="7" fillId="0" borderId="0" xfId="0" applyFont="1"/>
    <xf numFmtId="0" fontId="8" fillId="0" borderId="0" xfId="0" applyFont="1"/>
    <xf numFmtId="9" fontId="0" fillId="0" borderId="0" xfId="0" applyNumberFormat="1"/>
    <xf numFmtId="164" fontId="0" fillId="0" borderId="0" xfId="1" applyFont="1"/>
    <xf numFmtId="164" fontId="6" fillId="0" borderId="0" xfId="1" applyFont="1"/>
    <xf numFmtId="0" fontId="6" fillId="4" borderId="0" xfId="0" applyFont="1" applyFill="1" applyAlignment="1">
      <alignment horizontal="center"/>
    </xf>
    <xf numFmtId="9" fontId="0" fillId="0" borderId="0" xfId="2" applyFont="1"/>
    <xf numFmtId="165" fontId="0" fillId="0" borderId="0" xfId="1" applyNumberFormat="1" applyFont="1"/>
    <xf numFmtId="165" fontId="0" fillId="0" borderId="0" xfId="0" applyNumberFormat="1"/>
    <xf numFmtId="166" fontId="9" fillId="0" borderId="0" xfId="0" applyNumberFormat="1" applyFont="1" applyFill="1" applyAlignment="1" applyProtection="1">
      <alignment horizontal="right"/>
    </xf>
    <xf numFmtId="167" fontId="0" fillId="0" borderId="0" xfId="2" applyNumberFormat="1" applyFont="1"/>
    <xf numFmtId="167" fontId="10" fillId="0" borderId="0" xfId="2" applyNumberFormat="1" applyFont="1"/>
    <xf numFmtId="0" fontId="10" fillId="0" borderId="0" xfId="0" applyFont="1"/>
    <xf numFmtId="165" fontId="4" fillId="3" borderId="1" xfId="5" applyNumberFormat="1"/>
    <xf numFmtId="14" fontId="0" fillId="0" borderId="0" xfId="0" applyNumberFormat="1"/>
    <xf numFmtId="0" fontId="0" fillId="0" borderId="0" xfId="0" applyAlignment="1">
      <alignment horizontal="center"/>
    </xf>
    <xf numFmtId="165" fontId="0" fillId="0" borderId="0" xfId="1" applyNumberFormat="1" applyFont="1" applyAlignment="1">
      <alignment horizontal="center"/>
    </xf>
    <xf numFmtId="164" fontId="11" fillId="0" borderId="0" xfId="1" applyFont="1" applyFill="1" applyBorder="1" applyAlignment="1">
      <alignment horizontal="center"/>
    </xf>
    <xf numFmtId="0" fontId="14" fillId="0" borderId="0" xfId="0" applyFont="1"/>
    <xf numFmtId="10" fontId="0" fillId="0" borderId="0" xfId="0" applyNumberFormat="1"/>
    <xf numFmtId="164" fontId="0" fillId="0" borderId="0" xfId="0" applyNumberFormat="1"/>
    <xf numFmtId="165" fontId="6" fillId="0" borderId="0" xfId="0" applyNumberFormat="1" applyFont="1"/>
    <xf numFmtId="164" fontId="3" fillId="3" borderId="2" xfId="4" applyNumberFormat="1"/>
    <xf numFmtId="0" fontId="0" fillId="0" borderId="0" xfId="0" applyAlignment="1">
      <alignment horizontal="center" vertical="center"/>
    </xf>
    <xf numFmtId="0" fontId="5" fillId="6" borderId="4" xfId="0" applyFont="1" applyFill="1" applyBorder="1" applyAlignment="1">
      <alignment horizontal="center" vertical="center"/>
    </xf>
    <xf numFmtId="0" fontId="5" fillId="6" borderId="0" xfId="0" applyFont="1" applyFill="1" applyBorder="1" applyAlignment="1">
      <alignment vertical="center"/>
    </xf>
    <xf numFmtId="168" fontId="15" fillId="5" borderId="5" xfId="1" applyNumberFormat="1" applyFont="1" applyFill="1" applyBorder="1" applyAlignment="1">
      <alignment horizontal="left" vertical="center"/>
    </xf>
    <xf numFmtId="168" fontId="15" fillId="5" borderId="5" xfId="1" applyNumberFormat="1" applyFont="1" applyFill="1" applyBorder="1" applyAlignment="1">
      <alignment horizontal="center" vertical="center"/>
    </xf>
    <xf numFmtId="168" fontId="15" fillId="7" borderId="3" xfId="1" applyNumberFormat="1" applyFont="1" applyFill="1" applyBorder="1" applyAlignment="1">
      <alignment horizontal="left" vertical="center"/>
    </xf>
    <xf numFmtId="168" fontId="15" fillId="7" borderId="3" xfId="1" applyNumberFormat="1" applyFont="1" applyFill="1" applyBorder="1" applyAlignment="1">
      <alignment horizontal="center" vertical="center"/>
    </xf>
    <xf numFmtId="0" fontId="15" fillId="8" borderId="0" xfId="0" applyFont="1" applyFill="1" applyAlignment="1">
      <alignment horizontal="center" vertical="center"/>
    </xf>
    <xf numFmtId="0" fontId="16" fillId="5" borderId="6" xfId="0" applyFont="1" applyFill="1" applyBorder="1" applyAlignment="1">
      <alignment horizontal="left" vertical="center"/>
    </xf>
    <xf numFmtId="0" fontId="16" fillId="5" borderId="6" xfId="0" applyFont="1" applyFill="1" applyBorder="1" applyAlignment="1">
      <alignment horizontal="center" vertical="center"/>
    </xf>
    <xf numFmtId="9" fontId="2" fillId="2" borderId="1" xfId="3" applyNumberFormat="1"/>
    <xf numFmtId="0" fontId="2" fillId="2" borderId="1" xfId="3"/>
    <xf numFmtId="164" fontId="2" fillId="2" borderId="1" xfId="3" applyNumberFormat="1" applyAlignment="1">
      <alignment horizontal="center"/>
    </xf>
    <xf numFmtId="164" fontId="2" fillId="2" borderId="1" xfId="3" applyNumberFormat="1" applyAlignment="1">
      <alignment horizontal="right"/>
    </xf>
    <xf numFmtId="169" fontId="0" fillId="0" borderId="0" xfId="0" applyNumberFormat="1"/>
    <xf numFmtId="169" fontId="6" fillId="0" borderId="0" xfId="0" applyNumberFormat="1" applyFont="1"/>
    <xf numFmtId="165" fontId="2" fillId="2" borderId="1" xfId="3" applyNumberFormat="1"/>
    <xf numFmtId="165" fontId="3" fillId="3" borderId="2" xfId="4" applyNumberFormat="1"/>
    <xf numFmtId="165" fontId="17" fillId="3" borderId="1" xfId="5" applyNumberFormat="1" applyFont="1"/>
    <xf numFmtId="9" fontId="18" fillId="3" borderId="2" xfId="4" applyNumberFormat="1" applyFont="1"/>
    <xf numFmtId="0" fontId="0" fillId="9" borderId="0" xfId="0" applyFill="1"/>
    <xf numFmtId="9" fontId="4" fillId="3" borderId="1" xfId="2" applyFont="1" applyFill="1" applyBorder="1" applyAlignment="1">
      <alignment horizontal="center"/>
    </xf>
    <xf numFmtId="165" fontId="3" fillId="3" borderId="2" xfId="1" applyNumberFormat="1" applyFont="1" applyFill="1" applyBorder="1" applyAlignment="1">
      <alignment horizontal="center"/>
    </xf>
    <xf numFmtId="9" fontId="4" fillId="3" borderId="1" xfId="2" applyFont="1" applyFill="1" applyBorder="1"/>
    <xf numFmtId="9" fontId="17" fillId="3" borderId="1" xfId="2" applyFont="1" applyFill="1" applyBorder="1"/>
    <xf numFmtId="165" fontId="0" fillId="9" borderId="0" xfId="1" applyNumberFormat="1" applyFont="1" applyFill="1"/>
    <xf numFmtId="0" fontId="3" fillId="3" borderId="2" xfId="1" applyNumberFormat="1" applyFont="1" applyFill="1" applyBorder="1" applyAlignment="1">
      <alignment horizontal="center"/>
    </xf>
    <xf numFmtId="9" fontId="3" fillId="3" borderId="2" xfId="2" applyFont="1" applyFill="1" applyBorder="1" applyAlignment="1">
      <alignment horizontal="center"/>
    </xf>
    <xf numFmtId="169" fontId="0" fillId="0" borderId="0" xfId="1" applyNumberFormat="1" applyFont="1"/>
    <xf numFmtId="170" fontId="0" fillId="0" borderId="0" xfId="0" applyNumberFormat="1"/>
    <xf numFmtId="0" fontId="21" fillId="0" borderId="0" xfId="0" applyFont="1"/>
    <xf numFmtId="0" fontId="22" fillId="0" borderId="0" xfId="0" applyFont="1"/>
    <xf numFmtId="0" fontId="22" fillId="0" borderId="7" xfId="0" applyFont="1" applyBorder="1"/>
    <xf numFmtId="0" fontId="23" fillId="0" borderId="7" xfId="0" applyFont="1" applyBorder="1" applyAlignment="1">
      <alignment horizontal="center" vertical="center" wrapText="1"/>
    </xf>
    <xf numFmtId="0" fontId="24" fillId="0" borderId="0" xfId="0" applyFont="1"/>
    <xf numFmtId="0" fontId="23" fillId="0" borderId="0" xfId="0" applyFont="1"/>
    <xf numFmtId="0" fontId="22" fillId="8" borderId="0" xfId="0" applyFont="1" applyFill="1"/>
    <xf numFmtId="0" fontId="25" fillId="0" borderId="0" xfId="0" applyFont="1"/>
    <xf numFmtId="0" fontId="22" fillId="0" borderId="0" xfId="0" applyFont="1" applyFill="1"/>
    <xf numFmtId="0" fontId="22" fillId="0" borderId="7" xfId="0" applyFont="1" applyBorder="1" applyAlignment="1">
      <alignment horizontal="center"/>
    </xf>
    <xf numFmtId="0" fontId="23" fillId="0" borderId="7" xfId="0" applyFont="1" applyFill="1" applyBorder="1" applyAlignment="1">
      <alignment horizontal="center" vertical="center" wrapText="1"/>
    </xf>
    <xf numFmtId="0" fontId="22" fillId="12" borderId="7" xfId="0" applyFont="1" applyFill="1" applyBorder="1"/>
    <xf numFmtId="165" fontId="22" fillId="0" borderId="0" xfId="1" applyNumberFormat="1" applyFont="1"/>
    <xf numFmtId="0" fontId="23" fillId="0" borderId="0" xfId="0" applyFont="1" applyFill="1"/>
    <xf numFmtId="0" fontId="22" fillId="11" borderId="7" xfId="0" applyFont="1" applyFill="1" applyBorder="1"/>
    <xf numFmtId="165" fontId="22" fillId="11" borderId="7" xfId="0" applyNumberFormat="1" applyFont="1" applyFill="1" applyBorder="1"/>
    <xf numFmtId="0" fontId="22" fillId="0" borderId="0" xfId="0" applyFont="1" applyFill="1" applyBorder="1"/>
    <xf numFmtId="0" fontId="0" fillId="0" borderId="0" xfId="0" applyFill="1"/>
    <xf numFmtId="0" fontId="27" fillId="8" borderId="0" xfId="0" applyFont="1" applyFill="1"/>
    <xf numFmtId="0" fontId="28" fillId="8" borderId="0" xfId="0" applyFont="1" applyFill="1"/>
    <xf numFmtId="0" fontId="22" fillId="8" borderId="0" xfId="0" applyFont="1" applyFill="1" applyAlignment="1">
      <alignment horizontal="center"/>
    </xf>
    <xf numFmtId="0" fontId="23" fillId="10" borderId="0" xfId="0" applyFont="1" applyFill="1" applyAlignment="1">
      <alignment horizontal="left"/>
    </xf>
    <xf numFmtId="0" fontId="23" fillId="10" borderId="0" xfId="0" applyFont="1" applyFill="1" applyAlignment="1">
      <alignment horizontal="center"/>
    </xf>
    <xf numFmtId="165" fontId="22" fillId="8" borderId="0" xfId="1" applyNumberFormat="1" applyFont="1" applyFill="1"/>
    <xf numFmtId="0" fontId="23" fillId="8" borderId="0" xfId="0" applyFont="1" applyFill="1"/>
    <xf numFmtId="165" fontId="23" fillId="8" borderId="0" xfId="0" applyNumberFormat="1" applyFont="1" applyFill="1"/>
    <xf numFmtId="9" fontId="22" fillId="8" borderId="0" xfId="2" applyFont="1" applyFill="1"/>
    <xf numFmtId="165" fontId="22" fillId="8" borderId="0" xfId="0" applyNumberFormat="1" applyFont="1" applyFill="1"/>
    <xf numFmtId="0" fontId="30" fillId="8" borderId="0" xfId="0" applyFont="1" applyFill="1"/>
    <xf numFmtId="0" fontId="31" fillId="8" borderId="0" xfId="0" applyFont="1" applyFill="1"/>
    <xf numFmtId="165" fontId="22" fillId="11" borderId="7" xfId="1" applyNumberFormat="1" applyFont="1" applyFill="1" applyBorder="1" applyAlignment="1">
      <alignment horizontal="right"/>
    </xf>
    <xf numFmtId="0" fontId="32" fillId="0" borderId="7" xfId="6" applyBorder="1" applyAlignment="1">
      <alignment horizontal="center" vertical="center" wrapText="1"/>
    </xf>
    <xf numFmtId="0" fontId="24" fillId="8" borderId="0" xfId="0" applyFont="1" applyFill="1"/>
    <xf numFmtId="0" fontId="30" fillId="8" borderId="7" xfId="0" applyFont="1" applyFill="1" applyBorder="1"/>
    <xf numFmtId="0" fontId="23" fillId="8" borderId="7" xfId="0" applyFont="1" applyFill="1" applyBorder="1" applyAlignment="1">
      <alignment horizontal="center"/>
    </xf>
    <xf numFmtId="9" fontId="22" fillId="8" borderId="7" xfId="0" applyNumberFormat="1" applyFont="1" applyFill="1" applyBorder="1" applyAlignment="1">
      <alignment horizontal="center"/>
    </xf>
    <xf numFmtId="0" fontId="22" fillId="8" borderId="7" xfId="0" applyFont="1" applyFill="1" applyBorder="1"/>
    <xf numFmtId="9" fontId="22" fillId="8" borderId="7" xfId="2" applyFont="1" applyFill="1" applyBorder="1"/>
    <xf numFmtId="0" fontId="22" fillId="8" borderId="7" xfId="0" applyFont="1" applyFill="1" applyBorder="1" applyAlignment="1">
      <alignment horizontal="left"/>
    </xf>
    <xf numFmtId="0" fontId="22" fillId="8" borderId="7" xfId="0" applyFont="1" applyFill="1" applyBorder="1" applyAlignment="1">
      <alignment wrapText="1"/>
    </xf>
    <xf numFmtId="0" fontId="22" fillId="8" borderId="7" xfId="0" applyFont="1" applyFill="1" applyBorder="1" applyAlignment="1">
      <alignment vertical="center" wrapText="1"/>
    </xf>
    <xf numFmtId="165" fontId="33" fillId="3" borderId="2" xfId="4" applyNumberFormat="1" applyFont="1"/>
    <xf numFmtId="165" fontId="22" fillId="8" borderId="7" xfId="1" applyNumberFormat="1" applyFont="1" applyFill="1" applyBorder="1"/>
    <xf numFmtId="165" fontId="24" fillId="8" borderId="0" xfId="1" applyNumberFormat="1" applyFont="1" applyFill="1"/>
    <xf numFmtId="165" fontId="22" fillId="11" borderId="7" xfId="1" applyNumberFormat="1" applyFont="1" applyFill="1" applyBorder="1"/>
    <xf numFmtId="10" fontId="22" fillId="8" borderId="0" xfId="2" applyNumberFormat="1" applyFont="1" applyFill="1"/>
    <xf numFmtId="10" fontId="31" fillId="8" borderId="0" xfId="2" applyNumberFormat="1" applyFont="1" applyFill="1"/>
    <xf numFmtId="165" fontId="22" fillId="13" borderId="7" xfId="1" applyNumberFormat="1" applyFont="1" applyFill="1" applyBorder="1"/>
    <xf numFmtId="165" fontId="23" fillId="12" borderId="7" xfId="1" applyNumberFormat="1" applyFont="1" applyFill="1" applyBorder="1" applyAlignment="1">
      <alignment horizontal="center"/>
    </xf>
    <xf numFmtId="165" fontId="23" fillId="8" borderId="7" xfId="1" applyNumberFormat="1" applyFont="1" applyFill="1" applyBorder="1"/>
    <xf numFmtId="172" fontId="24" fillId="8" borderId="0" xfId="2" applyNumberFormat="1" applyFont="1" applyFill="1"/>
    <xf numFmtId="0" fontId="34" fillId="0" borderId="0" xfId="0" quotePrefix="1" applyFont="1"/>
    <xf numFmtId="0" fontId="23" fillId="0" borderId="7" xfId="0" applyFont="1" applyBorder="1"/>
    <xf numFmtId="0" fontId="22" fillId="0" borderId="0" xfId="0" applyFont="1" applyBorder="1"/>
    <xf numFmtId="0" fontId="23" fillId="0" borderId="7" xfId="0" applyFont="1" applyFill="1" applyBorder="1" applyAlignment="1">
      <alignment vertical="center"/>
    </xf>
    <xf numFmtId="0" fontId="22" fillId="0" borderId="7" xfId="0" applyFont="1" applyFill="1" applyBorder="1"/>
    <xf numFmtId="0" fontId="34" fillId="0" borderId="0" xfId="0" quotePrefix="1" applyFont="1" applyFill="1"/>
    <xf numFmtId="0" fontId="35" fillId="8" borderId="0" xfId="0" applyFont="1" applyFill="1"/>
    <xf numFmtId="0" fontId="22" fillId="0" borderId="0" xfId="0" applyFont="1" applyAlignment="1">
      <alignment horizontal="left" indent="3"/>
    </xf>
    <xf numFmtId="0" fontId="22" fillId="0" borderId="0" xfId="0" applyFont="1" applyFill="1" applyAlignment="1">
      <alignment horizontal="left" indent="3"/>
    </xf>
    <xf numFmtId="0" fontId="0" fillId="0" borderId="0" xfId="0" applyFill="1" applyAlignment="1">
      <alignment horizontal="center"/>
    </xf>
    <xf numFmtId="0" fontId="22" fillId="0" borderId="7" xfId="0" applyFont="1" applyFill="1" applyBorder="1" applyAlignment="1">
      <alignment horizontal="center"/>
    </xf>
    <xf numFmtId="9" fontId="22" fillId="0" borderId="7" xfId="2" applyFont="1" applyFill="1" applyBorder="1"/>
    <xf numFmtId="165" fontId="22" fillId="0" borderId="7" xfId="1" applyNumberFormat="1" applyFont="1" applyFill="1" applyBorder="1"/>
    <xf numFmtId="165" fontId="23" fillId="8" borderId="0" xfId="1" applyNumberFormat="1" applyFont="1" applyFill="1"/>
    <xf numFmtId="0" fontId="22" fillId="8" borderId="0" xfId="0" applyFont="1" applyFill="1" applyBorder="1"/>
    <xf numFmtId="165" fontId="22" fillId="8" borderId="0" xfId="0" applyNumberFormat="1" applyFont="1" applyFill="1" applyBorder="1"/>
    <xf numFmtId="165" fontId="23" fillId="8" borderId="0" xfId="0" applyNumberFormat="1" applyFont="1" applyFill="1" applyBorder="1"/>
    <xf numFmtId="0" fontId="23" fillId="8" borderId="0" xfId="0" applyFont="1" applyFill="1" applyBorder="1"/>
    <xf numFmtId="0" fontId="23" fillId="8" borderId="0" xfId="0" applyFont="1" applyFill="1" applyAlignment="1">
      <alignment horizontal="left" indent="1"/>
    </xf>
    <xf numFmtId="0" fontId="27" fillId="8" borderId="0" xfId="0" applyFont="1" applyFill="1" applyAlignment="1">
      <alignment horizontal="center"/>
    </xf>
    <xf numFmtId="0" fontId="28" fillId="8" borderId="0" xfId="0" applyFont="1" applyFill="1" applyAlignment="1">
      <alignment horizontal="center"/>
    </xf>
    <xf numFmtId="0" fontId="35" fillId="8" borderId="0" xfId="0" applyFont="1" applyFill="1" applyAlignment="1">
      <alignment horizontal="center"/>
    </xf>
    <xf numFmtId="0" fontId="23" fillId="8" borderId="0" xfId="0" applyFont="1" applyFill="1" applyAlignment="1">
      <alignment horizontal="center"/>
    </xf>
    <xf numFmtId="0" fontId="24" fillId="8" borderId="0" xfId="0" applyFont="1" applyFill="1" applyAlignment="1">
      <alignment horizontal="center"/>
    </xf>
    <xf numFmtId="0" fontId="22" fillId="8" borderId="0" xfId="0" applyFont="1" applyFill="1" applyBorder="1" applyAlignment="1">
      <alignment horizontal="center"/>
    </xf>
    <xf numFmtId="0" fontId="23" fillId="8" borderId="0" xfId="0" applyFont="1" applyFill="1" applyBorder="1" applyAlignment="1">
      <alignment horizontal="center"/>
    </xf>
    <xf numFmtId="0" fontId="30" fillId="8" borderId="0" xfId="0" applyFont="1" applyFill="1" applyAlignment="1">
      <alignment horizontal="center"/>
    </xf>
    <xf numFmtId="0" fontId="30" fillId="8" borderId="7" xfId="0" applyFont="1" applyFill="1" applyBorder="1" applyAlignment="1">
      <alignment horizontal="center"/>
    </xf>
    <xf numFmtId="0" fontId="22" fillId="8" borderId="7" xfId="0" applyFont="1" applyFill="1" applyBorder="1" applyAlignment="1">
      <alignment horizontal="center" wrapText="1"/>
    </xf>
    <xf numFmtId="0" fontId="22" fillId="8" borderId="7" xfId="0" applyFont="1" applyFill="1" applyBorder="1" applyAlignment="1">
      <alignment horizontal="center"/>
    </xf>
    <xf numFmtId="0" fontId="21" fillId="8" borderId="0" xfId="0" applyFont="1" applyFill="1" applyAlignment="1">
      <alignment horizontal="center"/>
    </xf>
    <xf numFmtId="0" fontId="31" fillId="8" borderId="0" xfId="0" applyFont="1" applyFill="1" applyAlignment="1">
      <alignment horizontal="center"/>
    </xf>
    <xf numFmtId="0" fontId="37" fillId="8" borderId="1" xfId="5" applyFont="1" applyFill="1" applyAlignment="1">
      <alignment horizontal="center"/>
    </xf>
    <xf numFmtId="0" fontId="21" fillId="8" borderId="0" xfId="0" applyFont="1" applyFill="1" applyBorder="1" applyAlignment="1">
      <alignment horizontal="center"/>
    </xf>
    <xf numFmtId="165" fontId="29" fillId="8" borderId="0" xfId="1" applyNumberFormat="1" applyFont="1" applyFill="1" applyBorder="1"/>
    <xf numFmtId="165" fontId="37" fillId="3" borderId="7" xfId="1" applyNumberFormat="1" applyFont="1" applyFill="1" applyBorder="1"/>
    <xf numFmtId="165" fontId="37" fillId="3" borderId="2" xfId="1" applyNumberFormat="1" applyFont="1" applyFill="1" applyBorder="1"/>
    <xf numFmtId="0" fontId="22" fillId="0" borderId="7" xfId="0" applyFont="1" applyBorder="1" applyProtection="1">
      <protection locked="0"/>
    </xf>
    <xf numFmtId="0" fontId="22" fillId="0" borderId="7" xfId="0" applyFont="1" applyFill="1" applyBorder="1" applyProtection="1">
      <protection locked="0"/>
    </xf>
    <xf numFmtId="164" fontId="22" fillId="11" borderId="7" xfId="1" applyNumberFormat="1" applyFont="1" applyFill="1" applyBorder="1"/>
    <xf numFmtId="171" fontId="22" fillId="11" borderId="7" xfId="1" applyNumberFormat="1" applyFont="1" applyFill="1" applyBorder="1"/>
    <xf numFmtId="164" fontId="22" fillId="11" borderId="7" xfId="1" applyNumberFormat="1" applyFont="1" applyFill="1" applyBorder="1" applyAlignment="1">
      <alignment horizontal="right"/>
    </xf>
    <xf numFmtId="167" fontId="22" fillId="11" borderId="7" xfId="2" applyNumberFormat="1" applyFont="1" applyFill="1" applyBorder="1"/>
    <xf numFmtId="0" fontId="22" fillId="11" borderId="7" xfId="0" applyFont="1" applyFill="1" applyBorder="1" applyAlignment="1">
      <alignment horizontal="center"/>
    </xf>
    <xf numFmtId="165" fontId="23" fillId="12" borderId="7" xfId="0" applyNumberFormat="1" applyFont="1" applyFill="1" applyBorder="1"/>
    <xf numFmtId="0" fontId="22" fillId="0" borderId="7" xfId="0" applyFont="1" applyFill="1" applyBorder="1" applyAlignment="1" applyProtection="1">
      <alignment horizontal="center"/>
      <protection locked="0"/>
    </xf>
    <xf numFmtId="165" fontId="23" fillId="12" borderId="7" xfId="1" applyNumberFormat="1" applyFont="1" applyFill="1" applyBorder="1"/>
    <xf numFmtId="9" fontId="22" fillId="11" borderId="7" xfId="2" applyFont="1" applyFill="1" applyBorder="1" applyAlignment="1">
      <alignment horizontal="center"/>
    </xf>
    <xf numFmtId="0" fontId="22" fillId="11" borderId="7" xfId="0" applyFont="1" applyFill="1" applyBorder="1" applyAlignment="1">
      <alignment horizontal="left"/>
    </xf>
    <xf numFmtId="165" fontId="22" fillId="0" borderId="7" xfId="1" applyNumberFormat="1" applyFont="1" applyFill="1" applyBorder="1" applyProtection="1">
      <protection locked="0"/>
    </xf>
    <xf numFmtId="165" fontId="22" fillId="0" borderId="7" xfId="1" applyNumberFormat="1" applyFont="1" applyBorder="1" applyProtection="1">
      <protection locked="0"/>
    </xf>
    <xf numFmtId="0" fontId="22" fillId="0" borderId="7" xfId="0" applyFont="1" applyBorder="1" applyAlignment="1" applyProtection="1">
      <alignment horizontal="center"/>
      <protection locked="0"/>
    </xf>
    <xf numFmtId="165" fontId="22" fillId="11" borderId="7" xfId="1" applyNumberFormat="1" applyFont="1" applyFill="1" applyBorder="1" applyAlignment="1">
      <alignment horizontal="center"/>
    </xf>
    <xf numFmtId="9" fontId="22" fillId="0" borderId="0" xfId="0" applyNumberFormat="1" applyFont="1"/>
    <xf numFmtId="9" fontId="22" fillId="0" borderId="7" xfId="0" applyNumberFormat="1" applyFont="1" applyFill="1" applyBorder="1" applyProtection="1">
      <protection locked="0"/>
    </xf>
    <xf numFmtId="9" fontId="22" fillId="0" borderId="7" xfId="2" applyFont="1" applyFill="1" applyBorder="1" applyProtection="1">
      <protection locked="0"/>
    </xf>
    <xf numFmtId="0" fontId="23" fillId="12" borderId="8" xfId="0" applyFont="1" applyFill="1" applyBorder="1" applyAlignment="1">
      <alignment horizontal="left"/>
    </xf>
    <xf numFmtId="0" fontId="23" fillId="12" borderId="9" xfId="0" applyFont="1" applyFill="1" applyBorder="1" applyAlignment="1">
      <alignment horizontal="left"/>
    </xf>
    <xf numFmtId="0" fontId="23" fillId="12" borderId="10" xfId="0" applyFont="1" applyFill="1" applyBorder="1" applyAlignment="1">
      <alignment horizontal="left"/>
    </xf>
    <xf numFmtId="0" fontId="8" fillId="0" borderId="0" xfId="0" quotePrefix="1" applyFont="1" applyAlignment="1">
      <alignment horizontal="left" vertical="center" wrapText="1"/>
    </xf>
    <xf numFmtId="0" fontId="23" fillId="12" borderId="7" xfId="0" applyFont="1" applyFill="1" applyBorder="1" applyAlignment="1">
      <alignment horizontal="left"/>
    </xf>
    <xf numFmtId="0" fontId="36" fillId="8" borderId="7" xfId="0" applyFont="1" applyFill="1" applyBorder="1" applyAlignment="1">
      <alignment horizontal="left" vertical="center" wrapText="1"/>
    </xf>
    <xf numFmtId="0" fontId="23" fillId="8" borderId="8" xfId="0" applyFont="1" applyFill="1" applyBorder="1" applyAlignment="1">
      <alignment horizontal="left"/>
    </xf>
    <xf numFmtId="0" fontId="23" fillId="8" borderId="9" xfId="0" applyFont="1" applyFill="1" applyBorder="1" applyAlignment="1">
      <alignment horizontal="left"/>
    </xf>
    <xf numFmtId="0" fontId="23" fillId="8" borderId="10" xfId="0" applyFont="1" applyFill="1" applyBorder="1" applyAlignment="1">
      <alignment horizontal="left"/>
    </xf>
    <xf numFmtId="9" fontId="22" fillId="14" borderId="7" xfId="2" applyFont="1" applyFill="1" applyBorder="1" applyProtection="1">
      <protection locked="0"/>
    </xf>
    <xf numFmtId="9" fontId="22" fillId="8" borderId="7" xfId="2" applyFont="1" applyFill="1" applyBorder="1" applyAlignment="1" applyProtection="1">
      <alignment horizontal="center"/>
      <protection locked="0"/>
    </xf>
    <xf numFmtId="0" fontId="23" fillId="0" borderId="7" xfId="0" applyFont="1" applyBorder="1" applyAlignment="1">
      <alignment horizontal="center" vertical="center" wrapText="1"/>
    </xf>
    <xf numFmtId="0" fontId="22" fillId="0" borderId="7" xfId="0" applyFont="1" applyFill="1" applyBorder="1" applyAlignment="1" applyProtection="1">
      <alignment horizontal="center"/>
      <protection locked="0"/>
    </xf>
    <xf numFmtId="0" fontId="22" fillId="0" borderId="8" xfId="0" applyFont="1" applyFill="1" applyBorder="1" applyAlignment="1" applyProtection="1">
      <alignment horizontal="center"/>
      <protection locked="0"/>
    </xf>
    <xf numFmtId="0" fontId="22" fillId="0" borderId="10" xfId="0" applyFont="1" applyFill="1" applyBorder="1" applyAlignment="1" applyProtection="1">
      <alignment horizontal="center"/>
      <protection locked="0"/>
    </xf>
  </cellXfs>
  <cellStyles count="7">
    <cellStyle name="Cálculo" xfId="5" builtinId="22"/>
    <cellStyle name="Entrada" xfId="3" builtinId="20"/>
    <cellStyle name="Hipervínculo" xfId="6" builtinId="8"/>
    <cellStyle name="Millares" xfId="1" builtinId="3"/>
    <cellStyle name="Normal" xfId="0" builtinId="0"/>
    <cellStyle name="Porcentaje" xfId="2" builtinId="5"/>
    <cellStyle name="Salida" xfId="4"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1</xdr:row>
      <xdr:rowOff>171450</xdr:rowOff>
    </xdr:from>
    <xdr:to>
      <xdr:col>5</xdr:col>
      <xdr:colOff>706755</xdr:colOff>
      <xdr:row>27</xdr:row>
      <xdr:rowOff>7620</xdr:rowOff>
    </xdr:to>
    <xdr:pic>
      <xdr:nvPicPr>
        <xdr:cNvPr id="2" name="Imagen 1"/>
        <xdr:cNvPicPr/>
      </xdr:nvPicPr>
      <xdr:blipFill>
        <a:blip xmlns:r="http://schemas.openxmlformats.org/officeDocument/2006/relationships" r:embed="rId1" cstate="print"/>
        <a:srcRect/>
        <a:stretch>
          <a:fillRect/>
        </a:stretch>
      </xdr:blipFill>
      <xdr:spPr bwMode="auto">
        <a:xfrm>
          <a:off x="942975" y="361950"/>
          <a:ext cx="6659880" cy="4789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bcu.gub.uy/Paginas/Default.aspx" TargetMode="External"/><Relationship Id="rId1" Type="http://schemas.openxmlformats.org/officeDocument/2006/relationships/hyperlink" Target="http://www.bcu.gub.uy/Paginas/Default.aspx"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www.bcu.gub.uy/Paginas/Default.aspx" TargetMode="External"/><Relationship Id="rId1" Type="http://schemas.openxmlformats.org/officeDocument/2006/relationships/hyperlink" Target="http://www.bcu.gub.uy/Paginas/Default.aspx"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9"/>
  <sheetViews>
    <sheetView workbookViewId="0">
      <selection activeCell="B9" sqref="B9"/>
    </sheetView>
  </sheetViews>
  <sheetFormatPr baseColWidth="10" defaultRowHeight="15" x14ac:dyDescent="0.25"/>
  <cols>
    <col min="2" max="2" width="32.5703125" bestFit="1" customWidth="1"/>
    <col min="3" max="3" width="22" style="17" customWidth="1"/>
    <col min="4" max="4" width="24.85546875" style="17" customWidth="1"/>
  </cols>
  <sheetData>
    <row r="1" spans="1:4" x14ac:dyDescent="0.25">
      <c r="A1" s="2"/>
    </row>
    <row r="2" spans="1:4" x14ac:dyDescent="0.25">
      <c r="A2" s="2"/>
      <c r="B2" s="2" t="s">
        <v>67</v>
      </c>
    </row>
    <row r="4" spans="1:4" ht="31.5" customHeight="1" thickBot="1" x14ac:dyDescent="0.3">
      <c r="B4" s="27" t="s">
        <v>65</v>
      </c>
      <c r="C4" s="26" t="s">
        <v>63</v>
      </c>
      <c r="D4" s="26" t="s">
        <v>64</v>
      </c>
    </row>
    <row r="5" spans="1:4" s="25" customFormat="1" ht="31.5" customHeight="1" x14ac:dyDescent="0.25">
      <c r="B5" s="28" t="s">
        <v>61</v>
      </c>
      <c r="C5" s="29">
        <f>'Oferta 1'!F27</f>
        <v>43.285581692844175</v>
      </c>
      <c r="D5" s="29">
        <f>+'Oferta 1'!F59</f>
        <v>124.12797265303713</v>
      </c>
    </row>
    <row r="6" spans="1:4" s="25" customFormat="1" ht="31.5" customHeight="1" x14ac:dyDescent="0.25">
      <c r="B6" s="30" t="s">
        <v>62</v>
      </c>
      <c r="C6" s="31">
        <f>+'Oferta 2'!F27</f>
        <v>40.780035037110821</v>
      </c>
      <c r="D6" s="31">
        <f>+'Oferta 2'!F59</f>
        <v>126.53983034074224</v>
      </c>
    </row>
    <row r="7" spans="1:4" s="25" customFormat="1" ht="12.75" customHeight="1" thickBot="1" x14ac:dyDescent="0.3">
      <c r="B7" s="32"/>
      <c r="C7" s="32"/>
      <c r="D7" s="32"/>
    </row>
    <row r="8" spans="1:4" s="25" customFormat="1" ht="31.5" customHeight="1" thickTop="1" thickBot="1" x14ac:dyDescent="0.3">
      <c r="B8" s="33" t="s">
        <v>66</v>
      </c>
      <c r="C8" s="34" t="str">
        <f>IF(C5&gt;C6,"Gana oferta 1","Gana oferta 2")</f>
        <v>Gana oferta 1</v>
      </c>
      <c r="D8" s="34" t="str">
        <f>IF(D5&gt;D6,"Gana oferta 1","Gana oferta 2")</f>
        <v>Gana oferta 2</v>
      </c>
    </row>
    <row r="9" spans="1:4" ht="15.75" thickTop="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0:F72"/>
  <sheetViews>
    <sheetView topLeftCell="A24" workbookViewId="0">
      <selection activeCell="C32" sqref="C32"/>
    </sheetView>
  </sheetViews>
  <sheetFormatPr baseColWidth="10" defaultRowHeight="15" x14ac:dyDescent="0.25"/>
  <cols>
    <col min="2" max="2" width="53" bestFit="1" customWidth="1"/>
    <col min="3" max="3" width="12" bestFit="1" customWidth="1"/>
    <col min="4" max="4" width="15.5703125" bestFit="1" customWidth="1"/>
  </cols>
  <sheetData>
    <row r="30" spans="2:4" x14ac:dyDescent="0.25">
      <c r="B30" t="s">
        <v>21</v>
      </c>
    </row>
    <row r="32" spans="2:4" x14ac:dyDescent="0.25">
      <c r="B32" t="s">
        <v>23</v>
      </c>
      <c r="C32" s="9">
        <v>86560</v>
      </c>
      <c r="D32" t="s">
        <v>34</v>
      </c>
    </row>
    <row r="33" spans="2:6" x14ac:dyDescent="0.25">
      <c r="B33" t="s">
        <v>22</v>
      </c>
      <c r="C33" s="8">
        <f>C32/292301</f>
        <v>0.2961330956787695</v>
      </c>
    </row>
    <row r="35" spans="2:6" x14ac:dyDescent="0.25">
      <c r="B35" t="s">
        <v>24</v>
      </c>
      <c r="C35">
        <v>350</v>
      </c>
      <c r="D35" t="s">
        <v>25</v>
      </c>
    </row>
    <row r="37" spans="2:6" x14ac:dyDescent="0.25">
      <c r="B37" t="s">
        <v>26</v>
      </c>
      <c r="C37">
        <f>C35/0.4</f>
        <v>875</v>
      </c>
      <c r="D37" t="s">
        <v>25</v>
      </c>
    </row>
    <row r="39" spans="2:6" x14ac:dyDescent="0.25">
      <c r="B39" t="s">
        <v>27</v>
      </c>
      <c r="C39" s="9">
        <f>+C37*C33</f>
        <v>259.1164587189233</v>
      </c>
      <c r="D39" t="s">
        <v>25</v>
      </c>
    </row>
    <row r="41" spans="2:6" x14ac:dyDescent="0.25">
      <c r="B41" t="s">
        <v>30</v>
      </c>
      <c r="C41" s="12">
        <f>+C43/C42-1</f>
        <v>9.6811015195833683E-2</v>
      </c>
    </row>
    <row r="42" spans="2:6" hidden="1" x14ac:dyDescent="0.25">
      <c r="B42" t="s">
        <v>31</v>
      </c>
      <c r="C42" s="11">
        <v>140.16999999999999</v>
      </c>
    </row>
    <row r="43" spans="2:6" hidden="1" x14ac:dyDescent="0.25">
      <c r="B43" t="s">
        <v>32</v>
      </c>
      <c r="C43" s="11">
        <v>153.74</v>
      </c>
    </row>
    <row r="45" spans="2:6" x14ac:dyDescent="0.25">
      <c r="B45" t="s">
        <v>33</v>
      </c>
      <c r="C45" s="9">
        <f>C39*(1+C41)</f>
        <v>284.20178614145158</v>
      </c>
      <c r="D45" t="s">
        <v>29</v>
      </c>
      <c r="E45" s="3" t="s">
        <v>73</v>
      </c>
    </row>
    <row r="47" spans="2:6" x14ac:dyDescent="0.25">
      <c r="B47" s="1" t="s">
        <v>28</v>
      </c>
      <c r="C47" s="15">
        <f>20.912896*12*1.22</f>
        <v>306.16479743999997</v>
      </c>
      <c r="D47" s="1" t="s">
        <v>29</v>
      </c>
      <c r="E47" s="13">
        <f>+C47/C45-1</f>
        <v>7.7279638515773019E-2</v>
      </c>
      <c r="F47" s="14" t="s">
        <v>35</v>
      </c>
    </row>
    <row r="49" spans="2:4" x14ac:dyDescent="0.25">
      <c r="B49" t="s">
        <v>36</v>
      </c>
      <c r="C49" s="38">
        <v>3.2431000000000001</v>
      </c>
      <c r="D49" s="16">
        <v>42370</v>
      </c>
    </row>
    <row r="51" spans="2:4" x14ac:dyDescent="0.25">
      <c r="B51" s="1" t="s">
        <v>28</v>
      </c>
      <c r="C51" s="15">
        <f>C47/C49</f>
        <v>94.404982097375949</v>
      </c>
      <c r="D51" t="s">
        <v>37</v>
      </c>
    </row>
    <row r="55" spans="2:4" x14ac:dyDescent="0.25">
      <c r="B55" s="20"/>
    </row>
    <row r="57" spans="2:4" x14ac:dyDescent="0.25">
      <c r="B57" s="20" t="s">
        <v>46</v>
      </c>
    </row>
    <row r="58" spans="2:4" x14ac:dyDescent="0.25">
      <c r="B58" t="s">
        <v>47</v>
      </c>
      <c r="C58" s="9">
        <v>30350</v>
      </c>
    </row>
    <row r="59" spans="2:4" x14ac:dyDescent="0.25">
      <c r="B59" t="s">
        <v>45</v>
      </c>
      <c r="C59" s="8">
        <f>28134/30349</f>
        <v>0.92701571715707276</v>
      </c>
    </row>
    <row r="61" spans="2:4" x14ac:dyDescent="0.25">
      <c r="B61" t="s">
        <v>48</v>
      </c>
      <c r="C61" s="21">
        <f>20%*C59</f>
        <v>0.18540314343141456</v>
      </c>
    </row>
    <row r="63" spans="2:4" x14ac:dyDescent="0.25">
      <c r="B63" t="s">
        <v>49</v>
      </c>
      <c r="C63" s="10">
        <f>C58*C61</f>
        <v>5626.9854031434315</v>
      </c>
    </row>
    <row r="65" spans="2:6" x14ac:dyDescent="0.25">
      <c r="B65" t="s">
        <v>50</v>
      </c>
    </row>
    <row r="67" spans="2:6" x14ac:dyDescent="0.25">
      <c r="B67" t="s">
        <v>48</v>
      </c>
      <c r="C67">
        <v>0</v>
      </c>
    </row>
    <row r="68" spans="2:6" x14ac:dyDescent="0.25">
      <c r="B68" t="s">
        <v>51</v>
      </c>
      <c r="C68" s="10">
        <f>292300-C58-C32</f>
        <v>175390</v>
      </c>
    </row>
    <row r="70" spans="2:6" x14ac:dyDescent="0.25">
      <c r="B70" t="s">
        <v>52</v>
      </c>
      <c r="C70" s="10">
        <f>C67*C68</f>
        <v>0</v>
      </c>
    </row>
    <row r="72" spans="2:6" x14ac:dyDescent="0.25">
      <c r="B72" s="1" t="s">
        <v>53</v>
      </c>
      <c r="C72" s="23">
        <f>C70+C63</f>
        <v>5626.9854031434315</v>
      </c>
      <c r="E72" s="12">
        <f>C72/292300</f>
        <v>1.9250719819170137E-2</v>
      </c>
      <c r="F72" t="s">
        <v>74</v>
      </c>
    </row>
  </sheetData>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topLeftCell="F1" workbookViewId="0">
      <selection activeCell="J5" sqref="J5"/>
    </sheetView>
  </sheetViews>
  <sheetFormatPr baseColWidth="10" defaultRowHeight="15" x14ac:dyDescent="0.25"/>
  <cols>
    <col min="2" max="3" width="19.7109375" customWidth="1"/>
    <col min="4" max="5" width="19.7109375" style="9" customWidth="1"/>
    <col min="6" max="6" width="19.7109375" customWidth="1"/>
    <col min="7" max="7" width="37" bestFit="1" customWidth="1"/>
    <col min="8" max="8" width="19.7109375" customWidth="1"/>
    <col min="9" max="9" width="32.28515625" bestFit="1" customWidth="1"/>
    <col min="10" max="10" width="48.85546875" bestFit="1" customWidth="1"/>
    <col min="11" max="12" width="23.85546875" customWidth="1"/>
  </cols>
  <sheetData>
    <row r="1" spans="1:14" ht="18" x14ac:dyDescent="0.35">
      <c r="A1" t="s">
        <v>16</v>
      </c>
      <c r="B1" t="s">
        <v>95</v>
      </c>
      <c r="C1" t="s">
        <v>96</v>
      </c>
      <c r="D1" s="50" t="s">
        <v>75</v>
      </c>
      <c r="E1" s="50" t="s">
        <v>76</v>
      </c>
      <c r="F1" t="s">
        <v>77</v>
      </c>
      <c r="G1" s="45" t="s">
        <v>105</v>
      </c>
      <c r="H1" t="s">
        <v>104</v>
      </c>
      <c r="I1" t="s">
        <v>106</v>
      </c>
      <c r="J1" s="45" t="s">
        <v>107</v>
      </c>
      <c r="K1" s="45" t="s">
        <v>97</v>
      </c>
      <c r="L1" s="17" t="s">
        <v>99</v>
      </c>
      <c r="M1" t="s">
        <v>98</v>
      </c>
      <c r="N1" t="s">
        <v>100</v>
      </c>
    </row>
    <row r="2" spans="1:14" x14ac:dyDescent="0.25">
      <c r="A2" s="17">
        <v>0</v>
      </c>
      <c r="B2" t="s">
        <v>78</v>
      </c>
      <c r="C2" t="str">
        <f>CONCATENATE(B2,"_",A2)</f>
        <v>Artigas_0</v>
      </c>
      <c r="D2" s="41">
        <v>50</v>
      </c>
      <c r="E2" s="41">
        <v>7531</v>
      </c>
      <c r="F2" s="42">
        <f>SUM(D2:E2)</f>
        <v>7581</v>
      </c>
      <c r="K2" s="46">
        <f t="shared" ref="K2:K33" si="0">I2*J2</f>
        <v>0</v>
      </c>
      <c r="L2" s="47">
        <f t="shared" ref="L2:L33" si="1">K2*F2</f>
        <v>0</v>
      </c>
      <c r="M2" s="48" t="str">
        <f t="shared" ref="M2:M33" si="2">IFERROR(L2/SUMIF(A:A,A2,L:L),"")</f>
        <v/>
      </c>
      <c r="N2" s="49">
        <f t="shared" ref="N2:N33" si="3">F2/SUMIF(A:A,A2,F:F)</f>
        <v>2.5935593788594634E-2</v>
      </c>
    </row>
    <row r="3" spans="1:14" x14ac:dyDescent="0.25">
      <c r="A3" s="17">
        <v>0</v>
      </c>
      <c r="B3" t="s">
        <v>79</v>
      </c>
      <c r="C3" t="str">
        <f t="shared" ref="C3:C20" si="4">CONCATENATE(B3,"_",A3)</f>
        <v>Canelones_0</v>
      </c>
      <c r="D3" s="41">
        <v>750</v>
      </c>
      <c r="E3" s="41">
        <v>40361</v>
      </c>
      <c r="F3" s="42">
        <f t="shared" ref="F3:F21" si="5">SUM(D3:E3)</f>
        <v>41111</v>
      </c>
      <c r="K3" s="46">
        <f t="shared" si="0"/>
        <v>0</v>
      </c>
      <c r="L3" s="47">
        <f t="shared" si="1"/>
        <v>0</v>
      </c>
      <c r="M3" s="48" t="str">
        <f t="shared" si="2"/>
        <v/>
      </c>
      <c r="N3" s="49">
        <f t="shared" si="3"/>
        <v>0.14064611479262815</v>
      </c>
    </row>
    <row r="4" spans="1:14" x14ac:dyDescent="0.25">
      <c r="A4" s="17">
        <v>0</v>
      </c>
      <c r="B4" t="s">
        <v>80</v>
      </c>
      <c r="C4" t="str">
        <f t="shared" si="4"/>
        <v>Cerro Largo_0</v>
      </c>
      <c r="D4" s="41">
        <v>56</v>
      </c>
      <c r="E4" s="41">
        <v>6066</v>
      </c>
      <c r="F4" s="42">
        <f t="shared" si="5"/>
        <v>6122</v>
      </c>
      <c r="K4" s="46">
        <f t="shared" si="0"/>
        <v>0</v>
      </c>
      <c r="L4" s="47">
        <f t="shared" si="1"/>
        <v>0</v>
      </c>
      <c r="M4" s="48" t="str">
        <f t="shared" si="2"/>
        <v/>
      </c>
      <c r="N4" s="49">
        <f t="shared" si="3"/>
        <v>2.0944163721643101E-2</v>
      </c>
    </row>
    <row r="5" spans="1:14" x14ac:dyDescent="0.25">
      <c r="A5" s="17">
        <v>0</v>
      </c>
      <c r="B5" t="s">
        <v>81</v>
      </c>
      <c r="C5" t="str">
        <f t="shared" si="4"/>
        <v>Colonia_0</v>
      </c>
      <c r="D5" s="41">
        <v>0</v>
      </c>
      <c r="E5" s="41">
        <v>12971</v>
      </c>
      <c r="F5" s="42">
        <f t="shared" si="5"/>
        <v>12971</v>
      </c>
      <c r="K5" s="46">
        <f t="shared" si="0"/>
        <v>0</v>
      </c>
      <c r="L5" s="47">
        <f t="shared" si="1"/>
        <v>0</v>
      </c>
      <c r="M5" s="48" t="str">
        <f t="shared" si="2"/>
        <v/>
      </c>
      <c r="N5" s="49">
        <f t="shared" si="3"/>
        <v>4.4375489649368285E-2</v>
      </c>
    </row>
    <row r="6" spans="1:14" x14ac:dyDescent="0.25">
      <c r="A6" s="17">
        <v>0</v>
      </c>
      <c r="B6" t="s">
        <v>82</v>
      </c>
      <c r="C6" t="str">
        <f t="shared" si="4"/>
        <v>Durazno_0</v>
      </c>
      <c r="D6" s="41">
        <v>0</v>
      </c>
      <c r="E6" s="41">
        <v>9696</v>
      </c>
      <c r="F6" s="42">
        <f t="shared" si="5"/>
        <v>9696</v>
      </c>
      <c r="K6" s="46">
        <f t="shared" si="0"/>
        <v>0</v>
      </c>
      <c r="L6" s="47">
        <f t="shared" si="1"/>
        <v>0</v>
      </c>
      <c r="M6" s="48" t="str">
        <f t="shared" si="2"/>
        <v/>
      </c>
      <c r="N6" s="49">
        <f t="shared" si="3"/>
        <v>3.3171285763647744E-2</v>
      </c>
    </row>
    <row r="7" spans="1:14" x14ac:dyDescent="0.25">
      <c r="A7" s="17">
        <v>0</v>
      </c>
      <c r="B7" t="s">
        <v>83</v>
      </c>
      <c r="C7" t="str">
        <f t="shared" si="4"/>
        <v>Flores_0</v>
      </c>
      <c r="D7" s="41">
        <v>0</v>
      </c>
      <c r="E7" s="41">
        <v>2981</v>
      </c>
      <c r="F7" s="42">
        <f t="shared" si="5"/>
        <v>2981</v>
      </c>
      <c r="K7" s="46">
        <f t="shared" si="0"/>
        <v>0</v>
      </c>
      <c r="L7" s="47">
        <f t="shared" si="1"/>
        <v>0</v>
      </c>
      <c r="M7" s="48" t="str">
        <f t="shared" si="2"/>
        <v/>
      </c>
      <c r="N7" s="49">
        <f t="shared" si="3"/>
        <v>1.0198391384223796E-2</v>
      </c>
    </row>
    <row r="8" spans="1:14" x14ac:dyDescent="0.25">
      <c r="A8" s="17">
        <v>0</v>
      </c>
      <c r="B8" t="s">
        <v>84</v>
      </c>
      <c r="C8" t="str">
        <f t="shared" si="4"/>
        <v>Florida_0</v>
      </c>
      <c r="D8" s="41">
        <v>0</v>
      </c>
      <c r="E8" s="41">
        <v>6430</v>
      </c>
      <c r="F8" s="42">
        <f t="shared" si="5"/>
        <v>6430</v>
      </c>
      <c r="K8" s="46">
        <f t="shared" si="0"/>
        <v>0</v>
      </c>
      <c r="L8" s="47">
        <f t="shared" si="1"/>
        <v>0</v>
      </c>
      <c r="M8" s="48" t="str">
        <f t="shared" si="2"/>
        <v/>
      </c>
      <c r="N8" s="49">
        <f t="shared" si="3"/>
        <v>2.1997872056544451E-2</v>
      </c>
    </row>
    <row r="9" spans="1:14" x14ac:dyDescent="0.25">
      <c r="A9" s="17">
        <v>0</v>
      </c>
      <c r="B9" t="s">
        <v>85</v>
      </c>
      <c r="C9" t="str">
        <f t="shared" si="4"/>
        <v>Lavalleja_0</v>
      </c>
      <c r="D9" s="41">
        <v>0</v>
      </c>
      <c r="E9" s="41">
        <v>7263</v>
      </c>
      <c r="F9" s="42">
        <f t="shared" si="5"/>
        <v>7263</v>
      </c>
      <c r="K9" s="46">
        <f t="shared" si="0"/>
        <v>0</v>
      </c>
      <c r="L9" s="47">
        <f t="shared" si="1"/>
        <v>0</v>
      </c>
      <c r="M9" s="48" t="str">
        <f t="shared" si="2"/>
        <v/>
      </c>
      <c r="N9" s="49">
        <f t="shared" si="3"/>
        <v>2.4847674144118561E-2</v>
      </c>
    </row>
    <row r="10" spans="1:14" x14ac:dyDescent="0.25">
      <c r="A10" s="17">
        <v>0</v>
      </c>
      <c r="B10" t="s">
        <v>46</v>
      </c>
      <c r="C10" t="str">
        <f t="shared" si="4"/>
        <v>Maldonado_0</v>
      </c>
      <c r="D10" s="41">
        <v>28134</v>
      </c>
      <c r="E10" s="41">
        <v>2215</v>
      </c>
      <c r="F10" s="42">
        <f t="shared" si="5"/>
        <v>30349</v>
      </c>
      <c r="K10" s="46">
        <f t="shared" si="0"/>
        <v>0</v>
      </c>
      <c r="L10" s="47">
        <f t="shared" si="1"/>
        <v>0</v>
      </c>
      <c r="M10" s="48" t="str">
        <f t="shared" si="2"/>
        <v/>
      </c>
      <c r="N10" s="49">
        <f t="shared" si="3"/>
        <v>0.10382790342831533</v>
      </c>
    </row>
    <row r="11" spans="1:14" x14ac:dyDescent="0.25">
      <c r="A11" s="17">
        <v>0</v>
      </c>
      <c r="B11" t="s">
        <v>86</v>
      </c>
      <c r="C11" t="str">
        <f t="shared" si="4"/>
        <v>Paysandú_0</v>
      </c>
      <c r="D11" s="41">
        <v>133</v>
      </c>
      <c r="E11" s="41">
        <v>13093</v>
      </c>
      <c r="F11" s="42">
        <f t="shared" si="5"/>
        <v>13226</v>
      </c>
      <c r="K11" s="46">
        <f t="shared" si="0"/>
        <v>0</v>
      </c>
      <c r="L11" s="47">
        <f t="shared" si="1"/>
        <v>0</v>
      </c>
      <c r="M11" s="48" t="str">
        <f t="shared" si="2"/>
        <v/>
      </c>
      <c r="N11" s="49">
        <f t="shared" si="3"/>
        <v>4.5247878043523627E-2</v>
      </c>
    </row>
    <row r="12" spans="1:14" x14ac:dyDescent="0.25">
      <c r="A12" s="17">
        <v>0</v>
      </c>
      <c r="B12" t="s">
        <v>87</v>
      </c>
      <c r="C12" t="str">
        <f t="shared" si="4"/>
        <v>Río Negro_0</v>
      </c>
      <c r="D12" s="41">
        <v>515</v>
      </c>
      <c r="E12" s="41">
        <v>4022</v>
      </c>
      <c r="F12" s="42">
        <f t="shared" si="5"/>
        <v>4537</v>
      </c>
      <c r="K12" s="46">
        <f t="shared" si="0"/>
        <v>0</v>
      </c>
      <c r="L12" s="47">
        <f t="shared" si="1"/>
        <v>0</v>
      </c>
      <c r="M12" s="48" t="str">
        <f t="shared" si="2"/>
        <v/>
      </c>
      <c r="N12" s="49">
        <f t="shared" si="3"/>
        <v>1.5521671154050105E-2</v>
      </c>
    </row>
    <row r="13" spans="1:14" x14ac:dyDescent="0.25">
      <c r="A13" s="17">
        <v>0</v>
      </c>
      <c r="B13" t="s">
        <v>88</v>
      </c>
      <c r="C13" t="str">
        <f t="shared" si="4"/>
        <v>Rivera_0</v>
      </c>
      <c r="D13" s="41">
        <v>0</v>
      </c>
      <c r="E13" s="41">
        <v>8187</v>
      </c>
      <c r="F13" s="42">
        <f t="shared" si="5"/>
        <v>8187</v>
      </c>
      <c r="K13" s="46">
        <f t="shared" si="0"/>
        <v>0</v>
      </c>
      <c r="L13" s="47">
        <f t="shared" si="1"/>
        <v>0</v>
      </c>
      <c r="M13" s="48" t="str">
        <f t="shared" si="2"/>
        <v/>
      </c>
      <c r="N13" s="49">
        <f t="shared" si="3"/>
        <v>2.8008799148822618E-2</v>
      </c>
    </row>
    <row r="14" spans="1:14" x14ac:dyDescent="0.25">
      <c r="A14" s="17">
        <v>0</v>
      </c>
      <c r="B14" t="s">
        <v>89</v>
      </c>
      <c r="C14" t="str">
        <f t="shared" si="4"/>
        <v>Rocha_0</v>
      </c>
      <c r="D14" s="41">
        <v>0</v>
      </c>
      <c r="E14" s="41">
        <v>8247</v>
      </c>
      <c r="F14" s="42">
        <f t="shared" si="5"/>
        <v>8247</v>
      </c>
      <c r="K14" s="46">
        <f t="shared" si="0"/>
        <v>0</v>
      </c>
      <c r="L14" s="47">
        <f t="shared" si="1"/>
        <v>0</v>
      </c>
      <c r="M14" s="48" t="str">
        <f t="shared" si="2"/>
        <v/>
      </c>
      <c r="N14" s="49">
        <f t="shared" si="3"/>
        <v>2.8214067006270934E-2</v>
      </c>
    </row>
    <row r="15" spans="1:14" x14ac:dyDescent="0.25">
      <c r="A15" s="17">
        <v>0</v>
      </c>
      <c r="B15" t="s">
        <v>90</v>
      </c>
      <c r="C15" t="str">
        <f t="shared" si="4"/>
        <v>Salto_0</v>
      </c>
      <c r="D15" s="41">
        <v>494</v>
      </c>
      <c r="E15" s="41">
        <v>15178</v>
      </c>
      <c r="F15" s="42">
        <f t="shared" si="5"/>
        <v>15672</v>
      </c>
      <c r="K15" s="46">
        <f t="shared" si="0"/>
        <v>0</v>
      </c>
      <c r="L15" s="47">
        <f t="shared" si="1"/>
        <v>0</v>
      </c>
      <c r="M15" s="48" t="str">
        <f t="shared" si="2"/>
        <v/>
      </c>
      <c r="N15" s="49">
        <f t="shared" si="3"/>
        <v>5.3615964365499945E-2</v>
      </c>
    </row>
    <row r="16" spans="1:14" x14ac:dyDescent="0.25">
      <c r="A16" s="17">
        <v>0</v>
      </c>
      <c r="B16" t="s">
        <v>91</v>
      </c>
      <c r="C16" t="str">
        <f t="shared" si="4"/>
        <v>San José_0</v>
      </c>
      <c r="D16" s="41">
        <v>0</v>
      </c>
      <c r="E16" s="41">
        <v>7686</v>
      </c>
      <c r="F16" s="42">
        <f t="shared" si="5"/>
        <v>7686</v>
      </c>
      <c r="K16" s="46">
        <f t="shared" si="0"/>
        <v>0</v>
      </c>
      <c r="L16" s="47">
        <f t="shared" si="1"/>
        <v>0</v>
      </c>
      <c r="M16" s="48" t="str">
        <f t="shared" si="2"/>
        <v/>
      </c>
      <c r="N16" s="49">
        <f t="shared" si="3"/>
        <v>2.6294812539129186E-2</v>
      </c>
    </row>
    <row r="17" spans="1:14" x14ac:dyDescent="0.25">
      <c r="A17" s="17">
        <v>0</v>
      </c>
      <c r="B17" t="s">
        <v>92</v>
      </c>
      <c r="C17" t="str">
        <f t="shared" si="4"/>
        <v>Soriano_0</v>
      </c>
      <c r="D17" s="41">
        <v>0</v>
      </c>
      <c r="E17" s="41">
        <v>7661</v>
      </c>
      <c r="F17" s="42">
        <f t="shared" si="5"/>
        <v>7661</v>
      </c>
      <c r="K17" s="46">
        <f t="shared" si="0"/>
        <v>0</v>
      </c>
      <c r="L17" s="47">
        <f t="shared" si="1"/>
        <v>0</v>
      </c>
      <c r="M17" s="48" t="str">
        <f t="shared" si="2"/>
        <v/>
      </c>
      <c r="N17" s="49">
        <f t="shared" si="3"/>
        <v>2.6209284265192388E-2</v>
      </c>
    </row>
    <row r="18" spans="1:14" x14ac:dyDescent="0.25">
      <c r="A18" s="17">
        <v>0</v>
      </c>
      <c r="B18" t="s">
        <v>93</v>
      </c>
      <c r="C18" t="str">
        <f t="shared" si="4"/>
        <v>Tacuarembó_0</v>
      </c>
      <c r="D18" s="41">
        <v>72</v>
      </c>
      <c r="E18" s="41">
        <v>11126</v>
      </c>
      <c r="F18" s="42">
        <f t="shared" si="5"/>
        <v>11198</v>
      </c>
      <c r="K18" s="46">
        <f t="shared" si="0"/>
        <v>0</v>
      </c>
      <c r="L18" s="47">
        <f t="shared" si="1"/>
        <v>0</v>
      </c>
      <c r="M18" s="48" t="str">
        <f t="shared" si="2"/>
        <v/>
      </c>
      <c r="N18" s="49">
        <f t="shared" si="3"/>
        <v>3.8309824461770572E-2</v>
      </c>
    </row>
    <row r="19" spans="1:14" x14ac:dyDescent="0.25">
      <c r="A19" s="17">
        <v>0</v>
      </c>
      <c r="B19" t="s">
        <v>94</v>
      </c>
      <c r="C19" t="str">
        <f t="shared" si="4"/>
        <v>Treinta y Tres_0</v>
      </c>
      <c r="D19" s="41">
        <v>86</v>
      </c>
      <c r="E19" s="41">
        <v>4737</v>
      </c>
      <c r="F19" s="42">
        <f t="shared" si="5"/>
        <v>4823</v>
      </c>
      <c r="K19" s="46">
        <f t="shared" si="0"/>
        <v>0</v>
      </c>
      <c r="L19" s="47">
        <f t="shared" si="1"/>
        <v>0</v>
      </c>
      <c r="M19" s="48" t="str">
        <f t="shared" si="2"/>
        <v/>
      </c>
      <c r="N19" s="49">
        <f t="shared" si="3"/>
        <v>1.6500114607887074E-2</v>
      </c>
    </row>
    <row r="20" spans="1:14" x14ac:dyDescent="0.25">
      <c r="A20" s="17">
        <v>0</v>
      </c>
      <c r="B20" t="s">
        <v>21</v>
      </c>
      <c r="C20" t="str">
        <f t="shared" si="4"/>
        <v>Montevideo_0</v>
      </c>
      <c r="D20" s="41">
        <v>196</v>
      </c>
      <c r="E20" s="41">
        <v>86364</v>
      </c>
      <c r="F20" s="42">
        <f t="shared" si="5"/>
        <v>86560</v>
      </c>
      <c r="G20" s="10"/>
      <c r="K20" s="46">
        <f t="shared" si="0"/>
        <v>0</v>
      </c>
      <c r="L20" s="47">
        <f t="shared" si="1"/>
        <v>0</v>
      </c>
      <c r="M20" s="48" t="str">
        <f t="shared" si="2"/>
        <v/>
      </c>
      <c r="N20" s="49">
        <f t="shared" si="3"/>
        <v>0.2961330956787695</v>
      </c>
    </row>
    <row r="21" spans="1:14" x14ac:dyDescent="0.25">
      <c r="A21" s="17">
        <f>+A2+1</f>
        <v>1</v>
      </c>
      <c r="B21" t="s">
        <v>78</v>
      </c>
      <c r="C21" t="str">
        <f>CONCATENATE(B21,"_",A21)</f>
        <v>Artigas_1</v>
      </c>
      <c r="D21" s="43" t="e">
        <f t="shared" ref="D21:D52" si="6">VLOOKUP(CONCATENATE(B21,"_",A21-1),$C:$I,2,FALSE)+VLOOKUP(CONCATENATE(B21,"_",A21-1),$C:$I,3,FALSE)*$G21</f>
        <v>#REF!</v>
      </c>
      <c r="E21" s="43" t="e">
        <f t="shared" ref="E21:E52" si="7">VLOOKUP(CONCATENATE(B21,"_",A21-1),$C:$I,3,FALSE)*(1-$G21)</f>
        <v>#REF!</v>
      </c>
      <c r="F21" s="42" t="e">
        <f t="shared" si="5"/>
        <v>#REF!</v>
      </c>
      <c r="G21" s="35" t="e">
        <f>IF(A21=1,#REF!,0)</f>
        <v>#REF!</v>
      </c>
      <c r="H21" s="51">
        <f t="shared" ref="H21:H52" si="8">IF(A21&lt;=2,0,A21-1)</f>
        <v>0</v>
      </c>
      <c r="I21" s="52" t="e">
        <f t="shared" ref="I21:I52" si="9">(D21-VLOOKUP(CONCATENATE(B21,"_",H21),$C:$E,2,FALSE))/VLOOKUP(CONCATENATE(B21,"_",H21),$C:$E,3,FALSE)</f>
        <v>#REF!</v>
      </c>
      <c r="J21" s="44" t="e">
        <f>IF(B21="Montevideo",#REF!,#REF!)</f>
        <v>#REF!</v>
      </c>
      <c r="K21" s="46" t="e">
        <f t="shared" si="0"/>
        <v>#REF!</v>
      </c>
      <c r="L21" s="47" t="e">
        <f t="shared" si="1"/>
        <v>#REF!</v>
      </c>
      <c r="M21" s="48" t="str">
        <f t="shared" si="2"/>
        <v/>
      </c>
      <c r="N21" s="49" t="e">
        <f t="shared" si="3"/>
        <v>#REF!</v>
      </c>
    </row>
    <row r="22" spans="1:14" x14ac:dyDescent="0.25">
      <c r="A22" s="17">
        <f t="shared" ref="A22:A85" si="10">+A3+1</f>
        <v>1</v>
      </c>
      <c r="B22" t="s">
        <v>79</v>
      </c>
      <c r="C22" t="str">
        <f t="shared" ref="C22:C39" si="11">CONCATENATE(B22,"_",A22)</f>
        <v>Canelones_1</v>
      </c>
      <c r="D22" s="43" t="e">
        <f t="shared" si="6"/>
        <v>#REF!</v>
      </c>
      <c r="E22" s="43" t="e">
        <f t="shared" si="7"/>
        <v>#REF!</v>
      </c>
      <c r="F22" s="42" t="e">
        <f t="shared" ref="F22:F40" si="12">SUM(D22:E22)</f>
        <v>#REF!</v>
      </c>
      <c r="G22" s="35" t="e">
        <f>IF(A22=1,#REF!,0)</f>
        <v>#REF!</v>
      </c>
      <c r="H22" s="51">
        <f t="shared" si="8"/>
        <v>0</v>
      </c>
      <c r="I22" s="52" t="e">
        <f t="shared" si="9"/>
        <v>#REF!</v>
      </c>
      <c r="J22" s="44" t="e">
        <f>IF(B22="Montevideo",#REF!,#REF!)</f>
        <v>#REF!</v>
      </c>
      <c r="K22" s="46" t="e">
        <f t="shared" si="0"/>
        <v>#REF!</v>
      </c>
      <c r="L22" s="47" t="e">
        <f t="shared" si="1"/>
        <v>#REF!</v>
      </c>
      <c r="M22" s="48" t="str">
        <f t="shared" si="2"/>
        <v/>
      </c>
      <c r="N22" s="49" t="e">
        <f t="shared" si="3"/>
        <v>#REF!</v>
      </c>
    </row>
    <row r="23" spans="1:14" x14ac:dyDescent="0.25">
      <c r="A23" s="17">
        <f t="shared" si="10"/>
        <v>1</v>
      </c>
      <c r="B23" t="s">
        <v>80</v>
      </c>
      <c r="C23" t="str">
        <f t="shared" si="11"/>
        <v>Cerro Largo_1</v>
      </c>
      <c r="D23" s="43" t="e">
        <f t="shared" si="6"/>
        <v>#REF!</v>
      </c>
      <c r="E23" s="43" t="e">
        <f t="shared" si="7"/>
        <v>#REF!</v>
      </c>
      <c r="F23" s="42" t="e">
        <f t="shared" si="12"/>
        <v>#REF!</v>
      </c>
      <c r="G23" s="35" t="e">
        <f>IF(A23=1,#REF!,0)</f>
        <v>#REF!</v>
      </c>
      <c r="H23" s="51">
        <f t="shared" si="8"/>
        <v>0</v>
      </c>
      <c r="I23" s="52" t="e">
        <f t="shared" si="9"/>
        <v>#REF!</v>
      </c>
      <c r="J23" s="44" t="e">
        <f>IF(B23="Montevideo",#REF!,#REF!)</f>
        <v>#REF!</v>
      </c>
      <c r="K23" s="46" t="e">
        <f t="shared" si="0"/>
        <v>#REF!</v>
      </c>
      <c r="L23" s="47" t="e">
        <f t="shared" si="1"/>
        <v>#REF!</v>
      </c>
      <c r="M23" s="48" t="str">
        <f t="shared" si="2"/>
        <v/>
      </c>
      <c r="N23" s="49" t="e">
        <f t="shared" si="3"/>
        <v>#REF!</v>
      </c>
    </row>
    <row r="24" spans="1:14" x14ac:dyDescent="0.25">
      <c r="A24" s="17">
        <f t="shared" si="10"/>
        <v>1</v>
      </c>
      <c r="B24" t="s">
        <v>81</v>
      </c>
      <c r="C24" t="str">
        <f t="shared" si="11"/>
        <v>Colonia_1</v>
      </c>
      <c r="D24" s="43" t="e">
        <f t="shared" si="6"/>
        <v>#REF!</v>
      </c>
      <c r="E24" s="43" t="e">
        <f t="shared" si="7"/>
        <v>#REF!</v>
      </c>
      <c r="F24" s="42" t="e">
        <f t="shared" si="12"/>
        <v>#REF!</v>
      </c>
      <c r="G24" s="35" t="e">
        <f>IF(A24=1,#REF!,0)</f>
        <v>#REF!</v>
      </c>
      <c r="H24" s="51">
        <f t="shared" si="8"/>
        <v>0</v>
      </c>
      <c r="I24" s="52" t="e">
        <f t="shared" si="9"/>
        <v>#REF!</v>
      </c>
      <c r="J24" s="44" t="e">
        <f>IF(B24="Montevideo",#REF!,#REF!)</f>
        <v>#REF!</v>
      </c>
      <c r="K24" s="46" t="e">
        <f t="shared" si="0"/>
        <v>#REF!</v>
      </c>
      <c r="L24" s="47" t="e">
        <f t="shared" si="1"/>
        <v>#REF!</v>
      </c>
      <c r="M24" s="48" t="str">
        <f t="shared" si="2"/>
        <v/>
      </c>
      <c r="N24" s="49" t="e">
        <f t="shared" si="3"/>
        <v>#REF!</v>
      </c>
    </row>
    <row r="25" spans="1:14" x14ac:dyDescent="0.25">
      <c r="A25" s="17">
        <f t="shared" si="10"/>
        <v>1</v>
      </c>
      <c r="B25" t="s">
        <v>82</v>
      </c>
      <c r="C25" t="str">
        <f t="shared" si="11"/>
        <v>Durazno_1</v>
      </c>
      <c r="D25" s="43" t="e">
        <f t="shared" si="6"/>
        <v>#REF!</v>
      </c>
      <c r="E25" s="43" t="e">
        <f t="shared" si="7"/>
        <v>#REF!</v>
      </c>
      <c r="F25" s="42" t="e">
        <f t="shared" si="12"/>
        <v>#REF!</v>
      </c>
      <c r="G25" s="35" t="e">
        <f>IF(A25=1,#REF!,0)</f>
        <v>#REF!</v>
      </c>
      <c r="H25" s="51">
        <f t="shared" si="8"/>
        <v>0</v>
      </c>
      <c r="I25" s="52" t="e">
        <f t="shared" si="9"/>
        <v>#REF!</v>
      </c>
      <c r="J25" s="44" t="e">
        <f>IF(B25="Montevideo",#REF!,#REF!)</f>
        <v>#REF!</v>
      </c>
      <c r="K25" s="46" t="e">
        <f t="shared" si="0"/>
        <v>#REF!</v>
      </c>
      <c r="L25" s="47" t="e">
        <f t="shared" si="1"/>
        <v>#REF!</v>
      </c>
      <c r="M25" s="48" t="str">
        <f t="shared" si="2"/>
        <v/>
      </c>
      <c r="N25" s="49" t="e">
        <f t="shared" si="3"/>
        <v>#REF!</v>
      </c>
    </row>
    <row r="26" spans="1:14" x14ac:dyDescent="0.25">
      <c r="A26" s="17">
        <f t="shared" si="10"/>
        <v>1</v>
      </c>
      <c r="B26" t="s">
        <v>83</v>
      </c>
      <c r="C26" t="str">
        <f t="shared" si="11"/>
        <v>Flores_1</v>
      </c>
      <c r="D26" s="43" t="e">
        <f t="shared" si="6"/>
        <v>#REF!</v>
      </c>
      <c r="E26" s="43" t="e">
        <f t="shared" si="7"/>
        <v>#REF!</v>
      </c>
      <c r="F26" s="42" t="e">
        <f t="shared" si="12"/>
        <v>#REF!</v>
      </c>
      <c r="G26" s="35" t="e">
        <f>IF(A26=1,#REF!,0)</f>
        <v>#REF!</v>
      </c>
      <c r="H26" s="51">
        <f t="shared" si="8"/>
        <v>0</v>
      </c>
      <c r="I26" s="52" t="e">
        <f t="shared" si="9"/>
        <v>#REF!</v>
      </c>
      <c r="J26" s="44" t="e">
        <f>IF(B26="Montevideo",#REF!,#REF!)</f>
        <v>#REF!</v>
      </c>
      <c r="K26" s="46" t="e">
        <f t="shared" si="0"/>
        <v>#REF!</v>
      </c>
      <c r="L26" s="47" t="e">
        <f t="shared" si="1"/>
        <v>#REF!</v>
      </c>
      <c r="M26" s="48" t="str">
        <f t="shared" si="2"/>
        <v/>
      </c>
      <c r="N26" s="49" t="e">
        <f t="shared" si="3"/>
        <v>#REF!</v>
      </c>
    </row>
    <row r="27" spans="1:14" x14ac:dyDescent="0.25">
      <c r="A27" s="17">
        <f t="shared" si="10"/>
        <v>1</v>
      </c>
      <c r="B27" t="s">
        <v>84</v>
      </c>
      <c r="C27" t="str">
        <f t="shared" si="11"/>
        <v>Florida_1</v>
      </c>
      <c r="D27" s="43" t="e">
        <f t="shared" si="6"/>
        <v>#REF!</v>
      </c>
      <c r="E27" s="43" t="e">
        <f t="shared" si="7"/>
        <v>#REF!</v>
      </c>
      <c r="F27" s="42" t="e">
        <f t="shared" si="12"/>
        <v>#REF!</v>
      </c>
      <c r="G27" s="35" t="e">
        <f>IF(A27=1,#REF!,0)</f>
        <v>#REF!</v>
      </c>
      <c r="H27" s="51">
        <f t="shared" si="8"/>
        <v>0</v>
      </c>
      <c r="I27" s="52" t="e">
        <f t="shared" si="9"/>
        <v>#REF!</v>
      </c>
      <c r="J27" s="44" t="e">
        <f>IF(B27="Montevideo",#REF!,#REF!)</f>
        <v>#REF!</v>
      </c>
      <c r="K27" s="46" t="e">
        <f t="shared" si="0"/>
        <v>#REF!</v>
      </c>
      <c r="L27" s="47" t="e">
        <f t="shared" si="1"/>
        <v>#REF!</v>
      </c>
      <c r="M27" s="48" t="str">
        <f t="shared" si="2"/>
        <v/>
      </c>
      <c r="N27" s="49" t="e">
        <f t="shared" si="3"/>
        <v>#REF!</v>
      </c>
    </row>
    <row r="28" spans="1:14" x14ac:dyDescent="0.25">
      <c r="A28" s="17">
        <f t="shared" si="10"/>
        <v>1</v>
      </c>
      <c r="B28" t="s">
        <v>85</v>
      </c>
      <c r="C28" t="str">
        <f t="shared" si="11"/>
        <v>Lavalleja_1</v>
      </c>
      <c r="D28" s="43" t="e">
        <f t="shared" si="6"/>
        <v>#REF!</v>
      </c>
      <c r="E28" s="43" t="e">
        <f t="shared" si="7"/>
        <v>#REF!</v>
      </c>
      <c r="F28" s="42" t="e">
        <f t="shared" si="12"/>
        <v>#REF!</v>
      </c>
      <c r="G28" s="35" t="e">
        <f>IF(A28=1,#REF!,0)</f>
        <v>#REF!</v>
      </c>
      <c r="H28" s="51">
        <f t="shared" si="8"/>
        <v>0</v>
      </c>
      <c r="I28" s="52" t="e">
        <f t="shared" si="9"/>
        <v>#REF!</v>
      </c>
      <c r="J28" s="44" t="e">
        <f>IF(B28="Montevideo",#REF!,#REF!)</f>
        <v>#REF!</v>
      </c>
      <c r="K28" s="46" t="e">
        <f t="shared" si="0"/>
        <v>#REF!</v>
      </c>
      <c r="L28" s="47" t="e">
        <f t="shared" si="1"/>
        <v>#REF!</v>
      </c>
      <c r="M28" s="48" t="str">
        <f t="shared" si="2"/>
        <v/>
      </c>
      <c r="N28" s="49" t="e">
        <f t="shared" si="3"/>
        <v>#REF!</v>
      </c>
    </row>
    <row r="29" spans="1:14" x14ac:dyDescent="0.25">
      <c r="A29" s="17">
        <f t="shared" si="10"/>
        <v>1</v>
      </c>
      <c r="B29" t="s">
        <v>46</v>
      </c>
      <c r="C29" t="str">
        <f t="shared" si="11"/>
        <v>Maldonado_1</v>
      </c>
      <c r="D29" s="43" t="e">
        <f t="shared" si="6"/>
        <v>#REF!</v>
      </c>
      <c r="E29" s="43" t="e">
        <f t="shared" si="7"/>
        <v>#REF!</v>
      </c>
      <c r="F29" s="42" t="e">
        <f t="shared" si="12"/>
        <v>#REF!</v>
      </c>
      <c r="G29" s="35" t="e">
        <f>IF(A29=1,#REF!,0)</f>
        <v>#REF!</v>
      </c>
      <c r="H29" s="51">
        <f t="shared" si="8"/>
        <v>0</v>
      </c>
      <c r="I29" s="52" t="e">
        <f t="shared" si="9"/>
        <v>#REF!</v>
      </c>
      <c r="J29" s="44" t="e">
        <f>IF(B29="Montevideo",#REF!,#REF!)</f>
        <v>#REF!</v>
      </c>
      <c r="K29" s="46" t="e">
        <f t="shared" si="0"/>
        <v>#REF!</v>
      </c>
      <c r="L29" s="47" t="e">
        <f t="shared" si="1"/>
        <v>#REF!</v>
      </c>
      <c r="M29" s="48" t="str">
        <f t="shared" si="2"/>
        <v/>
      </c>
      <c r="N29" s="49" t="e">
        <f t="shared" si="3"/>
        <v>#REF!</v>
      </c>
    </row>
    <row r="30" spans="1:14" x14ac:dyDescent="0.25">
      <c r="A30" s="17">
        <f t="shared" si="10"/>
        <v>1</v>
      </c>
      <c r="B30" t="s">
        <v>86</v>
      </c>
      <c r="C30" t="str">
        <f t="shared" si="11"/>
        <v>Paysandú_1</v>
      </c>
      <c r="D30" s="43" t="e">
        <f t="shared" si="6"/>
        <v>#REF!</v>
      </c>
      <c r="E30" s="43" t="e">
        <f t="shared" si="7"/>
        <v>#REF!</v>
      </c>
      <c r="F30" s="42" t="e">
        <f t="shared" si="12"/>
        <v>#REF!</v>
      </c>
      <c r="G30" s="35" t="e">
        <f>IF(A30=1,#REF!,0)</f>
        <v>#REF!</v>
      </c>
      <c r="H30" s="51">
        <f t="shared" si="8"/>
        <v>0</v>
      </c>
      <c r="I30" s="52" t="e">
        <f t="shared" si="9"/>
        <v>#REF!</v>
      </c>
      <c r="J30" s="44" t="e">
        <f>IF(B30="Montevideo",#REF!,#REF!)</f>
        <v>#REF!</v>
      </c>
      <c r="K30" s="46" t="e">
        <f t="shared" si="0"/>
        <v>#REF!</v>
      </c>
      <c r="L30" s="47" t="e">
        <f t="shared" si="1"/>
        <v>#REF!</v>
      </c>
      <c r="M30" s="48" t="str">
        <f t="shared" si="2"/>
        <v/>
      </c>
      <c r="N30" s="49" t="e">
        <f t="shared" si="3"/>
        <v>#REF!</v>
      </c>
    </row>
    <row r="31" spans="1:14" x14ac:dyDescent="0.25">
      <c r="A31" s="17">
        <f t="shared" si="10"/>
        <v>1</v>
      </c>
      <c r="B31" t="s">
        <v>87</v>
      </c>
      <c r="C31" t="str">
        <f t="shared" si="11"/>
        <v>Río Negro_1</v>
      </c>
      <c r="D31" s="43" t="e">
        <f t="shared" si="6"/>
        <v>#REF!</v>
      </c>
      <c r="E31" s="43" t="e">
        <f t="shared" si="7"/>
        <v>#REF!</v>
      </c>
      <c r="F31" s="42" t="e">
        <f t="shared" si="12"/>
        <v>#REF!</v>
      </c>
      <c r="G31" s="35" t="e">
        <f>IF(A31=1,#REF!,0)</f>
        <v>#REF!</v>
      </c>
      <c r="H31" s="51">
        <f t="shared" si="8"/>
        <v>0</v>
      </c>
      <c r="I31" s="52" t="e">
        <f t="shared" si="9"/>
        <v>#REF!</v>
      </c>
      <c r="J31" s="44" t="e">
        <f>IF(B31="Montevideo",#REF!,#REF!)</f>
        <v>#REF!</v>
      </c>
      <c r="K31" s="46" t="e">
        <f t="shared" si="0"/>
        <v>#REF!</v>
      </c>
      <c r="L31" s="47" t="e">
        <f t="shared" si="1"/>
        <v>#REF!</v>
      </c>
      <c r="M31" s="48" t="str">
        <f t="shared" si="2"/>
        <v/>
      </c>
      <c r="N31" s="49" t="e">
        <f t="shared" si="3"/>
        <v>#REF!</v>
      </c>
    </row>
    <row r="32" spans="1:14" x14ac:dyDescent="0.25">
      <c r="A32" s="17">
        <f t="shared" si="10"/>
        <v>1</v>
      </c>
      <c r="B32" t="s">
        <v>88</v>
      </c>
      <c r="C32" t="str">
        <f t="shared" si="11"/>
        <v>Rivera_1</v>
      </c>
      <c r="D32" s="43" t="e">
        <f t="shared" si="6"/>
        <v>#REF!</v>
      </c>
      <c r="E32" s="43" t="e">
        <f t="shared" si="7"/>
        <v>#REF!</v>
      </c>
      <c r="F32" s="42" t="e">
        <f t="shared" si="12"/>
        <v>#REF!</v>
      </c>
      <c r="G32" s="35" t="e">
        <f>IF(A32=1,#REF!,0)</f>
        <v>#REF!</v>
      </c>
      <c r="H32" s="51">
        <f t="shared" si="8"/>
        <v>0</v>
      </c>
      <c r="I32" s="52" t="e">
        <f t="shared" si="9"/>
        <v>#REF!</v>
      </c>
      <c r="J32" s="44" t="e">
        <f>IF(B32="Montevideo",#REF!,#REF!)</f>
        <v>#REF!</v>
      </c>
      <c r="K32" s="46" t="e">
        <f t="shared" si="0"/>
        <v>#REF!</v>
      </c>
      <c r="L32" s="47" t="e">
        <f t="shared" si="1"/>
        <v>#REF!</v>
      </c>
      <c r="M32" s="48" t="str">
        <f t="shared" si="2"/>
        <v/>
      </c>
      <c r="N32" s="49" t="e">
        <f t="shared" si="3"/>
        <v>#REF!</v>
      </c>
    </row>
    <row r="33" spans="1:14" x14ac:dyDescent="0.25">
      <c r="A33" s="17">
        <f t="shared" si="10"/>
        <v>1</v>
      </c>
      <c r="B33" t="s">
        <v>89</v>
      </c>
      <c r="C33" t="str">
        <f t="shared" si="11"/>
        <v>Rocha_1</v>
      </c>
      <c r="D33" s="43" t="e">
        <f t="shared" si="6"/>
        <v>#REF!</v>
      </c>
      <c r="E33" s="43" t="e">
        <f t="shared" si="7"/>
        <v>#REF!</v>
      </c>
      <c r="F33" s="42" t="e">
        <f t="shared" si="12"/>
        <v>#REF!</v>
      </c>
      <c r="G33" s="35" t="e">
        <f>IF(A33=1,#REF!,0)</f>
        <v>#REF!</v>
      </c>
      <c r="H33" s="51">
        <f t="shared" si="8"/>
        <v>0</v>
      </c>
      <c r="I33" s="52" t="e">
        <f t="shared" si="9"/>
        <v>#REF!</v>
      </c>
      <c r="J33" s="44" t="e">
        <f>IF(B33="Montevideo",#REF!,#REF!)</f>
        <v>#REF!</v>
      </c>
      <c r="K33" s="46" t="e">
        <f t="shared" si="0"/>
        <v>#REF!</v>
      </c>
      <c r="L33" s="47" t="e">
        <f t="shared" si="1"/>
        <v>#REF!</v>
      </c>
      <c r="M33" s="48" t="str">
        <f t="shared" si="2"/>
        <v/>
      </c>
      <c r="N33" s="49" t="e">
        <f t="shared" si="3"/>
        <v>#REF!</v>
      </c>
    </row>
    <row r="34" spans="1:14" x14ac:dyDescent="0.25">
      <c r="A34" s="17">
        <f t="shared" si="10"/>
        <v>1</v>
      </c>
      <c r="B34" t="s">
        <v>90</v>
      </c>
      <c r="C34" t="str">
        <f t="shared" si="11"/>
        <v>Salto_1</v>
      </c>
      <c r="D34" s="43" t="e">
        <f t="shared" si="6"/>
        <v>#REF!</v>
      </c>
      <c r="E34" s="43" t="e">
        <f t="shared" si="7"/>
        <v>#REF!</v>
      </c>
      <c r="F34" s="42" t="e">
        <f t="shared" si="12"/>
        <v>#REF!</v>
      </c>
      <c r="G34" s="35" t="e">
        <f>IF(A34=1,#REF!,0)</f>
        <v>#REF!</v>
      </c>
      <c r="H34" s="51">
        <f t="shared" si="8"/>
        <v>0</v>
      </c>
      <c r="I34" s="52" t="e">
        <f t="shared" si="9"/>
        <v>#REF!</v>
      </c>
      <c r="J34" s="44" t="e">
        <f>IF(B34="Montevideo",#REF!,#REF!)</f>
        <v>#REF!</v>
      </c>
      <c r="K34" s="46" t="e">
        <f t="shared" ref="K34:K65" si="13">I34*J34</f>
        <v>#REF!</v>
      </c>
      <c r="L34" s="47" t="e">
        <f t="shared" ref="L34:L65" si="14">K34*F34</f>
        <v>#REF!</v>
      </c>
      <c r="M34" s="48" t="str">
        <f t="shared" ref="M34:M65" si="15">IFERROR(L34/SUMIF(A:A,A34,L:L),"")</f>
        <v/>
      </c>
      <c r="N34" s="49" t="e">
        <f t="shared" ref="N34:N65" si="16">F34/SUMIF(A:A,A34,F:F)</f>
        <v>#REF!</v>
      </c>
    </row>
    <row r="35" spans="1:14" x14ac:dyDescent="0.25">
      <c r="A35" s="17">
        <f t="shared" si="10"/>
        <v>1</v>
      </c>
      <c r="B35" t="s">
        <v>91</v>
      </c>
      <c r="C35" t="str">
        <f t="shared" si="11"/>
        <v>San José_1</v>
      </c>
      <c r="D35" s="43" t="e">
        <f t="shared" si="6"/>
        <v>#REF!</v>
      </c>
      <c r="E35" s="43" t="e">
        <f t="shared" si="7"/>
        <v>#REF!</v>
      </c>
      <c r="F35" s="42" t="e">
        <f t="shared" si="12"/>
        <v>#REF!</v>
      </c>
      <c r="G35" s="35" t="e">
        <f>IF(A35=1,#REF!,0)</f>
        <v>#REF!</v>
      </c>
      <c r="H35" s="51">
        <f t="shared" si="8"/>
        <v>0</v>
      </c>
      <c r="I35" s="52" t="e">
        <f t="shared" si="9"/>
        <v>#REF!</v>
      </c>
      <c r="J35" s="44" t="e">
        <f>IF(B35="Montevideo",#REF!,#REF!)</f>
        <v>#REF!</v>
      </c>
      <c r="K35" s="46" t="e">
        <f t="shared" si="13"/>
        <v>#REF!</v>
      </c>
      <c r="L35" s="47" t="e">
        <f t="shared" si="14"/>
        <v>#REF!</v>
      </c>
      <c r="M35" s="48" t="str">
        <f t="shared" si="15"/>
        <v/>
      </c>
      <c r="N35" s="49" t="e">
        <f t="shared" si="16"/>
        <v>#REF!</v>
      </c>
    </row>
    <row r="36" spans="1:14" x14ac:dyDescent="0.25">
      <c r="A36" s="17">
        <f t="shared" si="10"/>
        <v>1</v>
      </c>
      <c r="B36" t="s">
        <v>92</v>
      </c>
      <c r="C36" t="str">
        <f t="shared" si="11"/>
        <v>Soriano_1</v>
      </c>
      <c r="D36" s="43" t="e">
        <f t="shared" si="6"/>
        <v>#REF!</v>
      </c>
      <c r="E36" s="43" t="e">
        <f t="shared" si="7"/>
        <v>#REF!</v>
      </c>
      <c r="F36" s="42" t="e">
        <f t="shared" si="12"/>
        <v>#REF!</v>
      </c>
      <c r="G36" s="35" t="e">
        <f>IF(A36=1,#REF!,0)</f>
        <v>#REF!</v>
      </c>
      <c r="H36" s="51">
        <f t="shared" si="8"/>
        <v>0</v>
      </c>
      <c r="I36" s="52" t="e">
        <f t="shared" si="9"/>
        <v>#REF!</v>
      </c>
      <c r="J36" s="44" t="e">
        <f>IF(B36="Montevideo",#REF!,#REF!)</f>
        <v>#REF!</v>
      </c>
      <c r="K36" s="46" t="e">
        <f t="shared" si="13"/>
        <v>#REF!</v>
      </c>
      <c r="L36" s="47" t="e">
        <f t="shared" si="14"/>
        <v>#REF!</v>
      </c>
      <c r="M36" s="48" t="str">
        <f t="shared" si="15"/>
        <v/>
      </c>
      <c r="N36" s="49" t="e">
        <f t="shared" si="16"/>
        <v>#REF!</v>
      </c>
    </row>
    <row r="37" spans="1:14" x14ac:dyDescent="0.25">
      <c r="A37" s="17">
        <f t="shared" si="10"/>
        <v>1</v>
      </c>
      <c r="B37" t="s">
        <v>93</v>
      </c>
      <c r="C37" t="str">
        <f t="shared" si="11"/>
        <v>Tacuarembó_1</v>
      </c>
      <c r="D37" s="43" t="e">
        <f t="shared" si="6"/>
        <v>#REF!</v>
      </c>
      <c r="E37" s="43" t="e">
        <f t="shared" si="7"/>
        <v>#REF!</v>
      </c>
      <c r="F37" s="42" t="e">
        <f t="shared" si="12"/>
        <v>#REF!</v>
      </c>
      <c r="G37" s="35" t="e">
        <f>IF(A37=1,#REF!,0)</f>
        <v>#REF!</v>
      </c>
      <c r="H37" s="51">
        <f t="shared" si="8"/>
        <v>0</v>
      </c>
      <c r="I37" s="52" t="e">
        <f t="shared" si="9"/>
        <v>#REF!</v>
      </c>
      <c r="J37" s="44" t="e">
        <f>IF(B37="Montevideo",#REF!,#REF!)</f>
        <v>#REF!</v>
      </c>
      <c r="K37" s="46" t="e">
        <f t="shared" si="13"/>
        <v>#REF!</v>
      </c>
      <c r="L37" s="47" t="e">
        <f t="shared" si="14"/>
        <v>#REF!</v>
      </c>
      <c r="M37" s="48" t="str">
        <f t="shared" si="15"/>
        <v/>
      </c>
      <c r="N37" s="49" t="e">
        <f t="shared" si="16"/>
        <v>#REF!</v>
      </c>
    </row>
    <row r="38" spans="1:14" x14ac:dyDescent="0.25">
      <c r="A38" s="17">
        <f t="shared" si="10"/>
        <v>1</v>
      </c>
      <c r="B38" t="s">
        <v>94</v>
      </c>
      <c r="C38" t="str">
        <f t="shared" si="11"/>
        <v>Treinta y Tres_1</v>
      </c>
      <c r="D38" s="43" t="e">
        <f t="shared" si="6"/>
        <v>#REF!</v>
      </c>
      <c r="E38" s="43" t="e">
        <f t="shared" si="7"/>
        <v>#REF!</v>
      </c>
      <c r="F38" s="42" t="e">
        <f t="shared" si="12"/>
        <v>#REF!</v>
      </c>
      <c r="G38" s="35" t="e">
        <f>IF(A38=1,#REF!,0)</f>
        <v>#REF!</v>
      </c>
      <c r="H38" s="51">
        <f t="shared" si="8"/>
        <v>0</v>
      </c>
      <c r="I38" s="52" t="e">
        <f t="shared" si="9"/>
        <v>#REF!</v>
      </c>
      <c r="J38" s="44" t="e">
        <f>IF(B38="Montevideo",#REF!,#REF!)</f>
        <v>#REF!</v>
      </c>
      <c r="K38" s="46" t="e">
        <f t="shared" si="13"/>
        <v>#REF!</v>
      </c>
      <c r="L38" s="47" t="e">
        <f t="shared" si="14"/>
        <v>#REF!</v>
      </c>
      <c r="M38" s="48" t="str">
        <f t="shared" si="15"/>
        <v/>
      </c>
      <c r="N38" s="49" t="e">
        <f t="shared" si="16"/>
        <v>#REF!</v>
      </c>
    </row>
    <row r="39" spans="1:14" x14ac:dyDescent="0.25">
      <c r="A39" s="17">
        <f t="shared" si="10"/>
        <v>1</v>
      </c>
      <c r="B39" t="s">
        <v>21</v>
      </c>
      <c r="C39" t="str">
        <f t="shared" si="11"/>
        <v>Montevideo_1</v>
      </c>
      <c r="D39" s="43" t="e">
        <f t="shared" si="6"/>
        <v>#REF!</v>
      </c>
      <c r="E39" s="43" t="e">
        <f t="shared" si="7"/>
        <v>#REF!</v>
      </c>
      <c r="F39" s="42" t="e">
        <f t="shared" si="12"/>
        <v>#REF!</v>
      </c>
      <c r="G39" s="35" t="e">
        <f>IF(A39=1,#REF!,0)</f>
        <v>#REF!</v>
      </c>
      <c r="H39" s="51">
        <f t="shared" si="8"/>
        <v>0</v>
      </c>
      <c r="I39" s="52" t="e">
        <f t="shared" si="9"/>
        <v>#REF!</v>
      </c>
      <c r="J39" s="44" t="e">
        <f>IF(B39="Montevideo",#REF!,#REF!)</f>
        <v>#REF!</v>
      </c>
      <c r="K39" s="46" t="e">
        <f t="shared" si="13"/>
        <v>#REF!</v>
      </c>
      <c r="L39" s="47" t="e">
        <f t="shared" si="14"/>
        <v>#REF!</v>
      </c>
      <c r="M39" s="48" t="str">
        <f t="shared" si="15"/>
        <v/>
      </c>
      <c r="N39" s="49" t="e">
        <f t="shared" si="16"/>
        <v>#REF!</v>
      </c>
    </row>
    <row r="40" spans="1:14" x14ac:dyDescent="0.25">
      <c r="A40" s="17">
        <f>+A21+1</f>
        <v>2</v>
      </c>
      <c r="B40" t="s">
        <v>78</v>
      </c>
      <c r="C40" t="str">
        <f>CONCATENATE(B40,"_",A40)</f>
        <v>Artigas_2</v>
      </c>
      <c r="D40" s="43" t="e">
        <f t="shared" si="6"/>
        <v>#REF!</v>
      </c>
      <c r="E40" s="43" t="e">
        <f t="shared" si="7"/>
        <v>#REF!</v>
      </c>
      <c r="F40" s="42" t="e">
        <f t="shared" si="12"/>
        <v>#REF!</v>
      </c>
      <c r="G40" s="35">
        <v>0</v>
      </c>
      <c r="H40" s="51">
        <f t="shared" si="8"/>
        <v>0</v>
      </c>
      <c r="I40" s="52" t="e">
        <f t="shared" si="9"/>
        <v>#REF!</v>
      </c>
      <c r="J40" s="44" t="e">
        <f>IF(B40="Montevideo",#REF!,#REF!)</f>
        <v>#REF!</v>
      </c>
      <c r="K40" s="46" t="e">
        <f t="shared" si="13"/>
        <v>#REF!</v>
      </c>
      <c r="L40" s="47" t="e">
        <f t="shared" si="14"/>
        <v>#REF!</v>
      </c>
      <c r="M40" s="48" t="str">
        <f t="shared" si="15"/>
        <v/>
      </c>
      <c r="N40" s="49" t="e">
        <f t="shared" si="16"/>
        <v>#REF!</v>
      </c>
    </row>
    <row r="41" spans="1:14" x14ac:dyDescent="0.25">
      <c r="A41" s="17">
        <f t="shared" si="10"/>
        <v>2</v>
      </c>
      <c r="B41" t="s">
        <v>79</v>
      </c>
      <c r="C41" t="str">
        <f t="shared" ref="C41:C58" si="17">CONCATENATE(B41,"_",A41)</f>
        <v>Canelones_2</v>
      </c>
      <c r="D41" s="43" t="e">
        <f t="shared" si="6"/>
        <v>#REF!</v>
      </c>
      <c r="E41" s="43" t="e">
        <f t="shared" si="7"/>
        <v>#REF!</v>
      </c>
      <c r="F41" s="42" t="e">
        <f t="shared" ref="F41:F59" si="18">SUM(D41:E41)</f>
        <v>#REF!</v>
      </c>
      <c r="G41" s="35">
        <v>0</v>
      </c>
      <c r="H41" s="51">
        <f t="shared" si="8"/>
        <v>0</v>
      </c>
      <c r="I41" s="52" t="e">
        <f t="shared" si="9"/>
        <v>#REF!</v>
      </c>
      <c r="J41" s="44" t="e">
        <f>IF(B41="Montevideo",#REF!,#REF!)</f>
        <v>#REF!</v>
      </c>
      <c r="K41" s="46" t="e">
        <f t="shared" si="13"/>
        <v>#REF!</v>
      </c>
      <c r="L41" s="47" t="e">
        <f t="shared" si="14"/>
        <v>#REF!</v>
      </c>
      <c r="M41" s="48" t="str">
        <f t="shared" si="15"/>
        <v/>
      </c>
      <c r="N41" s="49" t="e">
        <f t="shared" si="16"/>
        <v>#REF!</v>
      </c>
    </row>
    <row r="42" spans="1:14" x14ac:dyDescent="0.25">
      <c r="A42" s="17">
        <f t="shared" si="10"/>
        <v>2</v>
      </c>
      <c r="B42" t="s">
        <v>80</v>
      </c>
      <c r="C42" t="str">
        <f t="shared" si="17"/>
        <v>Cerro Largo_2</v>
      </c>
      <c r="D42" s="43" t="e">
        <f t="shared" si="6"/>
        <v>#REF!</v>
      </c>
      <c r="E42" s="43" t="e">
        <f t="shared" si="7"/>
        <v>#REF!</v>
      </c>
      <c r="F42" s="42" t="e">
        <f t="shared" si="18"/>
        <v>#REF!</v>
      </c>
      <c r="G42" s="35">
        <v>0</v>
      </c>
      <c r="H42" s="51">
        <f t="shared" si="8"/>
        <v>0</v>
      </c>
      <c r="I42" s="52" t="e">
        <f t="shared" si="9"/>
        <v>#REF!</v>
      </c>
      <c r="J42" s="44" t="e">
        <f>IF(B42="Montevideo",#REF!,#REF!)</f>
        <v>#REF!</v>
      </c>
      <c r="K42" s="46" t="e">
        <f t="shared" si="13"/>
        <v>#REF!</v>
      </c>
      <c r="L42" s="47" t="e">
        <f t="shared" si="14"/>
        <v>#REF!</v>
      </c>
      <c r="M42" s="48" t="str">
        <f t="shared" si="15"/>
        <v/>
      </c>
      <c r="N42" s="49" t="e">
        <f t="shared" si="16"/>
        <v>#REF!</v>
      </c>
    </row>
    <row r="43" spans="1:14" x14ac:dyDescent="0.25">
      <c r="A43" s="17">
        <f t="shared" si="10"/>
        <v>2</v>
      </c>
      <c r="B43" t="s">
        <v>81</v>
      </c>
      <c r="C43" t="str">
        <f t="shared" si="17"/>
        <v>Colonia_2</v>
      </c>
      <c r="D43" s="43" t="e">
        <f t="shared" si="6"/>
        <v>#REF!</v>
      </c>
      <c r="E43" s="43" t="e">
        <f t="shared" si="7"/>
        <v>#REF!</v>
      </c>
      <c r="F43" s="42" t="e">
        <f t="shared" si="18"/>
        <v>#REF!</v>
      </c>
      <c r="G43" s="35">
        <v>0</v>
      </c>
      <c r="H43" s="51">
        <f t="shared" si="8"/>
        <v>0</v>
      </c>
      <c r="I43" s="52" t="e">
        <f t="shared" si="9"/>
        <v>#REF!</v>
      </c>
      <c r="J43" s="44" t="e">
        <f>IF(B43="Montevideo",#REF!,#REF!)</f>
        <v>#REF!</v>
      </c>
      <c r="K43" s="46" t="e">
        <f t="shared" si="13"/>
        <v>#REF!</v>
      </c>
      <c r="L43" s="47" t="e">
        <f t="shared" si="14"/>
        <v>#REF!</v>
      </c>
      <c r="M43" s="48" t="str">
        <f t="shared" si="15"/>
        <v/>
      </c>
      <c r="N43" s="49" t="e">
        <f t="shared" si="16"/>
        <v>#REF!</v>
      </c>
    </row>
    <row r="44" spans="1:14" x14ac:dyDescent="0.25">
      <c r="A44" s="17">
        <f t="shared" si="10"/>
        <v>2</v>
      </c>
      <c r="B44" t="s">
        <v>82</v>
      </c>
      <c r="C44" t="str">
        <f t="shared" si="17"/>
        <v>Durazno_2</v>
      </c>
      <c r="D44" s="43" t="e">
        <f t="shared" si="6"/>
        <v>#REF!</v>
      </c>
      <c r="E44" s="43" t="e">
        <f t="shared" si="7"/>
        <v>#REF!</v>
      </c>
      <c r="F44" s="42" t="e">
        <f t="shared" si="18"/>
        <v>#REF!</v>
      </c>
      <c r="G44" s="35">
        <v>0</v>
      </c>
      <c r="H44" s="51">
        <f t="shared" si="8"/>
        <v>0</v>
      </c>
      <c r="I44" s="52" t="e">
        <f t="shared" si="9"/>
        <v>#REF!</v>
      </c>
      <c r="J44" s="44" t="e">
        <f>IF(B44="Montevideo",#REF!,#REF!)</f>
        <v>#REF!</v>
      </c>
      <c r="K44" s="46" t="e">
        <f t="shared" si="13"/>
        <v>#REF!</v>
      </c>
      <c r="L44" s="47" t="e">
        <f t="shared" si="14"/>
        <v>#REF!</v>
      </c>
      <c r="M44" s="48" t="str">
        <f t="shared" si="15"/>
        <v/>
      </c>
      <c r="N44" s="49" t="e">
        <f t="shared" si="16"/>
        <v>#REF!</v>
      </c>
    </row>
    <row r="45" spans="1:14" x14ac:dyDescent="0.25">
      <c r="A45" s="17">
        <f t="shared" si="10"/>
        <v>2</v>
      </c>
      <c r="B45" t="s">
        <v>83</v>
      </c>
      <c r="C45" t="str">
        <f t="shared" si="17"/>
        <v>Flores_2</v>
      </c>
      <c r="D45" s="43" t="e">
        <f t="shared" si="6"/>
        <v>#REF!</v>
      </c>
      <c r="E45" s="43" t="e">
        <f t="shared" si="7"/>
        <v>#REF!</v>
      </c>
      <c r="F45" s="42" t="e">
        <f t="shared" si="18"/>
        <v>#REF!</v>
      </c>
      <c r="G45" s="35">
        <v>0</v>
      </c>
      <c r="H45" s="51">
        <f t="shared" si="8"/>
        <v>0</v>
      </c>
      <c r="I45" s="52" t="e">
        <f t="shared" si="9"/>
        <v>#REF!</v>
      </c>
      <c r="J45" s="44" t="e">
        <f>IF(B45="Montevideo",#REF!,#REF!)</f>
        <v>#REF!</v>
      </c>
      <c r="K45" s="46" t="e">
        <f t="shared" si="13"/>
        <v>#REF!</v>
      </c>
      <c r="L45" s="47" t="e">
        <f t="shared" si="14"/>
        <v>#REF!</v>
      </c>
      <c r="M45" s="48" t="str">
        <f t="shared" si="15"/>
        <v/>
      </c>
      <c r="N45" s="49" t="e">
        <f t="shared" si="16"/>
        <v>#REF!</v>
      </c>
    </row>
    <row r="46" spans="1:14" x14ac:dyDescent="0.25">
      <c r="A46" s="17">
        <f t="shared" si="10"/>
        <v>2</v>
      </c>
      <c r="B46" t="s">
        <v>84</v>
      </c>
      <c r="C46" t="str">
        <f t="shared" si="17"/>
        <v>Florida_2</v>
      </c>
      <c r="D46" s="43" t="e">
        <f t="shared" si="6"/>
        <v>#REF!</v>
      </c>
      <c r="E46" s="43" t="e">
        <f t="shared" si="7"/>
        <v>#REF!</v>
      </c>
      <c r="F46" s="42" t="e">
        <f t="shared" si="18"/>
        <v>#REF!</v>
      </c>
      <c r="G46" s="35">
        <v>0</v>
      </c>
      <c r="H46" s="51">
        <f t="shared" si="8"/>
        <v>0</v>
      </c>
      <c r="I46" s="52" t="e">
        <f t="shared" si="9"/>
        <v>#REF!</v>
      </c>
      <c r="J46" s="44" t="e">
        <f>IF(B46="Montevideo",#REF!,#REF!)</f>
        <v>#REF!</v>
      </c>
      <c r="K46" s="46" t="e">
        <f t="shared" si="13"/>
        <v>#REF!</v>
      </c>
      <c r="L46" s="47" t="e">
        <f t="shared" si="14"/>
        <v>#REF!</v>
      </c>
      <c r="M46" s="48" t="str">
        <f t="shared" si="15"/>
        <v/>
      </c>
      <c r="N46" s="49" t="e">
        <f t="shared" si="16"/>
        <v>#REF!</v>
      </c>
    </row>
    <row r="47" spans="1:14" x14ac:dyDescent="0.25">
      <c r="A47" s="17">
        <f t="shared" si="10"/>
        <v>2</v>
      </c>
      <c r="B47" t="s">
        <v>85</v>
      </c>
      <c r="C47" t="str">
        <f t="shared" si="17"/>
        <v>Lavalleja_2</v>
      </c>
      <c r="D47" s="43" t="e">
        <f t="shared" si="6"/>
        <v>#REF!</v>
      </c>
      <c r="E47" s="43" t="e">
        <f t="shared" si="7"/>
        <v>#REF!</v>
      </c>
      <c r="F47" s="42" t="e">
        <f t="shared" si="18"/>
        <v>#REF!</v>
      </c>
      <c r="G47" s="35">
        <v>0</v>
      </c>
      <c r="H47" s="51">
        <f t="shared" si="8"/>
        <v>0</v>
      </c>
      <c r="I47" s="52" t="e">
        <f t="shared" si="9"/>
        <v>#REF!</v>
      </c>
      <c r="J47" s="44" t="e">
        <f>IF(B47="Montevideo",#REF!,#REF!)</f>
        <v>#REF!</v>
      </c>
      <c r="K47" s="46" t="e">
        <f t="shared" si="13"/>
        <v>#REF!</v>
      </c>
      <c r="L47" s="47" t="e">
        <f t="shared" si="14"/>
        <v>#REF!</v>
      </c>
      <c r="M47" s="48" t="str">
        <f t="shared" si="15"/>
        <v/>
      </c>
      <c r="N47" s="49" t="e">
        <f t="shared" si="16"/>
        <v>#REF!</v>
      </c>
    </row>
    <row r="48" spans="1:14" x14ac:dyDescent="0.25">
      <c r="A48" s="17">
        <f t="shared" si="10"/>
        <v>2</v>
      </c>
      <c r="B48" t="s">
        <v>46</v>
      </c>
      <c r="C48" t="str">
        <f t="shared" si="17"/>
        <v>Maldonado_2</v>
      </c>
      <c r="D48" s="43" t="e">
        <f t="shared" si="6"/>
        <v>#REF!</v>
      </c>
      <c r="E48" s="43" t="e">
        <f t="shared" si="7"/>
        <v>#REF!</v>
      </c>
      <c r="F48" s="42" t="e">
        <f t="shared" si="18"/>
        <v>#REF!</v>
      </c>
      <c r="G48" s="35">
        <v>0</v>
      </c>
      <c r="H48" s="51">
        <f t="shared" si="8"/>
        <v>0</v>
      </c>
      <c r="I48" s="52" t="e">
        <f t="shared" si="9"/>
        <v>#REF!</v>
      </c>
      <c r="J48" s="44" t="e">
        <f>IF(B48="Montevideo",#REF!,#REF!)</f>
        <v>#REF!</v>
      </c>
      <c r="K48" s="46" t="e">
        <f t="shared" si="13"/>
        <v>#REF!</v>
      </c>
      <c r="L48" s="47" t="e">
        <f t="shared" si="14"/>
        <v>#REF!</v>
      </c>
      <c r="M48" s="48" t="str">
        <f t="shared" si="15"/>
        <v/>
      </c>
      <c r="N48" s="49" t="e">
        <f t="shared" si="16"/>
        <v>#REF!</v>
      </c>
    </row>
    <row r="49" spans="1:14" x14ac:dyDescent="0.25">
      <c r="A49" s="17">
        <f t="shared" si="10"/>
        <v>2</v>
      </c>
      <c r="B49" t="s">
        <v>86</v>
      </c>
      <c r="C49" t="str">
        <f t="shared" si="17"/>
        <v>Paysandú_2</v>
      </c>
      <c r="D49" s="43" t="e">
        <f t="shared" si="6"/>
        <v>#REF!</v>
      </c>
      <c r="E49" s="43" t="e">
        <f t="shared" si="7"/>
        <v>#REF!</v>
      </c>
      <c r="F49" s="42" t="e">
        <f t="shared" si="18"/>
        <v>#REF!</v>
      </c>
      <c r="G49" s="35">
        <v>0</v>
      </c>
      <c r="H49" s="51">
        <f t="shared" si="8"/>
        <v>0</v>
      </c>
      <c r="I49" s="52" t="e">
        <f t="shared" si="9"/>
        <v>#REF!</v>
      </c>
      <c r="J49" s="44" t="e">
        <f>IF(B49="Montevideo",#REF!,#REF!)</f>
        <v>#REF!</v>
      </c>
      <c r="K49" s="46" t="e">
        <f t="shared" si="13"/>
        <v>#REF!</v>
      </c>
      <c r="L49" s="47" t="e">
        <f t="shared" si="14"/>
        <v>#REF!</v>
      </c>
      <c r="M49" s="48" t="str">
        <f t="shared" si="15"/>
        <v/>
      </c>
      <c r="N49" s="49" t="e">
        <f t="shared" si="16"/>
        <v>#REF!</v>
      </c>
    </row>
    <row r="50" spans="1:14" x14ac:dyDescent="0.25">
      <c r="A50" s="17">
        <f t="shared" si="10"/>
        <v>2</v>
      </c>
      <c r="B50" t="s">
        <v>87</v>
      </c>
      <c r="C50" t="str">
        <f t="shared" si="17"/>
        <v>Río Negro_2</v>
      </c>
      <c r="D50" s="43" t="e">
        <f t="shared" si="6"/>
        <v>#REF!</v>
      </c>
      <c r="E50" s="43" t="e">
        <f t="shared" si="7"/>
        <v>#REF!</v>
      </c>
      <c r="F50" s="42" t="e">
        <f t="shared" si="18"/>
        <v>#REF!</v>
      </c>
      <c r="G50" s="35">
        <v>0</v>
      </c>
      <c r="H50" s="51">
        <f t="shared" si="8"/>
        <v>0</v>
      </c>
      <c r="I50" s="52" t="e">
        <f t="shared" si="9"/>
        <v>#REF!</v>
      </c>
      <c r="J50" s="44" t="e">
        <f>IF(B50="Montevideo",#REF!,#REF!)</f>
        <v>#REF!</v>
      </c>
      <c r="K50" s="46" t="e">
        <f t="shared" si="13"/>
        <v>#REF!</v>
      </c>
      <c r="L50" s="47" t="e">
        <f t="shared" si="14"/>
        <v>#REF!</v>
      </c>
      <c r="M50" s="48" t="str">
        <f t="shared" si="15"/>
        <v/>
      </c>
      <c r="N50" s="49" t="e">
        <f t="shared" si="16"/>
        <v>#REF!</v>
      </c>
    </row>
    <row r="51" spans="1:14" x14ac:dyDescent="0.25">
      <c r="A51" s="17">
        <f t="shared" si="10"/>
        <v>2</v>
      </c>
      <c r="B51" t="s">
        <v>88</v>
      </c>
      <c r="C51" t="str">
        <f t="shared" si="17"/>
        <v>Rivera_2</v>
      </c>
      <c r="D51" s="43" t="e">
        <f t="shared" si="6"/>
        <v>#REF!</v>
      </c>
      <c r="E51" s="43" t="e">
        <f t="shared" si="7"/>
        <v>#REF!</v>
      </c>
      <c r="F51" s="42" t="e">
        <f t="shared" si="18"/>
        <v>#REF!</v>
      </c>
      <c r="G51" s="35">
        <v>0</v>
      </c>
      <c r="H51" s="51">
        <f t="shared" si="8"/>
        <v>0</v>
      </c>
      <c r="I51" s="52" t="e">
        <f t="shared" si="9"/>
        <v>#REF!</v>
      </c>
      <c r="J51" s="44" t="e">
        <f>IF(B51="Montevideo",#REF!,#REF!)</f>
        <v>#REF!</v>
      </c>
      <c r="K51" s="46" t="e">
        <f t="shared" si="13"/>
        <v>#REF!</v>
      </c>
      <c r="L51" s="47" t="e">
        <f t="shared" si="14"/>
        <v>#REF!</v>
      </c>
      <c r="M51" s="48" t="str">
        <f t="shared" si="15"/>
        <v/>
      </c>
      <c r="N51" s="49" t="e">
        <f t="shared" si="16"/>
        <v>#REF!</v>
      </c>
    </row>
    <row r="52" spans="1:14" x14ac:dyDescent="0.25">
      <c r="A52" s="17">
        <f t="shared" si="10"/>
        <v>2</v>
      </c>
      <c r="B52" t="s">
        <v>89</v>
      </c>
      <c r="C52" t="str">
        <f t="shared" si="17"/>
        <v>Rocha_2</v>
      </c>
      <c r="D52" s="43" t="e">
        <f t="shared" si="6"/>
        <v>#REF!</v>
      </c>
      <c r="E52" s="43" t="e">
        <f t="shared" si="7"/>
        <v>#REF!</v>
      </c>
      <c r="F52" s="42" t="e">
        <f t="shared" si="18"/>
        <v>#REF!</v>
      </c>
      <c r="G52" s="35">
        <v>0</v>
      </c>
      <c r="H52" s="51">
        <f t="shared" si="8"/>
        <v>0</v>
      </c>
      <c r="I52" s="52" t="e">
        <f t="shared" si="9"/>
        <v>#REF!</v>
      </c>
      <c r="J52" s="44" t="e">
        <f>IF(B52="Montevideo",#REF!,#REF!)</f>
        <v>#REF!</v>
      </c>
      <c r="K52" s="46" t="e">
        <f t="shared" si="13"/>
        <v>#REF!</v>
      </c>
      <c r="L52" s="47" t="e">
        <f t="shared" si="14"/>
        <v>#REF!</v>
      </c>
      <c r="M52" s="48" t="str">
        <f t="shared" si="15"/>
        <v/>
      </c>
      <c r="N52" s="49" t="e">
        <f t="shared" si="16"/>
        <v>#REF!</v>
      </c>
    </row>
    <row r="53" spans="1:14" x14ac:dyDescent="0.25">
      <c r="A53" s="17">
        <f t="shared" si="10"/>
        <v>2</v>
      </c>
      <c r="B53" t="s">
        <v>90</v>
      </c>
      <c r="C53" t="str">
        <f t="shared" si="17"/>
        <v>Salto_2</v>
      </c>
      <c r="D53" s="43" t="e">
        <f t="shared" ref="D53:D84" si="19">VLOOKUP(CONCATENATE(B53,"_",A53-1),$C:$I,2,FALSE)+VLOOKUP(CONCATENATE(B53,"_",A53-1),$C:$I,3,FALSE)*$G53</f>
        <v>#REF!</v>
      </c>
      <c r="E53" s="43" t="e">
        <f t="shared" ref="E53:E84" si="20">VLOOKUP(CONCATENATE(B53,"_",A53-1),$C:$I,3,FALSE)*(1-$G53)</f>
        <v>#REF!</v>
      </c>
      <c r="F53" s="42" t="e">
        <f t="shared" si="18"/>
        <v>#REF!</v>
      </c>
      <c r="G53" s="35">
        <v>0</v>
      </c>
      <c r="H53" s="51">
        <f t="shared" ref="H53:H84" si="21">IF(A53&lt;=2,0,A53-1)</f>
        <v>0</v>
      </c>
      <c r="I53" s="52" t="e">
        <f t="shared" ref="I53:I84" si="22">(D53-VLOOKUP(CONCATENATE(B53,"_",H53),$C:$E,2,FALSE))/VLOOKUP(CONCATENATE(B53,"_",H53),$C:$E,3,FALSE)</f>
        <v>#REF!</v>
      </c>
      <c r="J53" s="44" t="e">
        <f>IF(B53="Montevideo",#REF!,#REF!)</f>
        <v>#REF!</v>
      </c>
      <c r="K53" s="46" t="e">
        <f t="shared" si="13"/>
        <v>#REF!</v>
      </c>
      <c r="L53" s="47" t="e">
        <f t="shared" si="14"/>
        <v>#REF!</v>
      </c>
      <c r="M53" s="48" t="str">
        <f t="shared" si="15"/>
        <v/>
      </c>
      <c r="N53" s="49" t="e">
        <f t="shared" si="16"/>
        <v>#REF!</v>
      </c>
    </row>
    <row r="54" spans="1:14" x14ac:dyDescent="0.25">
      <c r="A54" s="17">
        <f t="shared" si="10"/>
        <v>2</v>
      </c>
      <c r="B54" t="s">
        <v>91</v>
      </c>
      <c r="C54" t="str">
        <f t="shared" si="17"/>
        <v>San José_2</v>
      </c>
      <c r="D54" s="43" t="e">
        <f t="shared" si="19"/>
        <v>#REF!</v>
      </c>
      <c r="E54" s="43" t="e">
        <f t="shared" si="20"/>
        <v>#REF!</v>
      </c>
      <c r="F54" s="42" t="e">
        <f t="shared" si="18"/>
        <v>#REF!</v>
      </c>
      <c r="G54" s="35">
        <v>0</v>
      </c>
      <c r="H54" s="51">
        <f t="shared" si="21"/>
        <v>0</v>
      </c>
      <c r="I54" s="52" t="e">
        <f t="shared" si="22"/>
        <v>#REF!</v>
      </c>
      <c r="J54" s="44" t="e">
        <f>IF(B54="Montevideo",#REF!,#REF!)</f>
        <v>#REF!</v>
      </c>
      <c r="K54" s="46" t="e">
        <f t="shared" si="13"/>
        <v>#REF!</v>
      </c>
      <c r="L54" s="47" t="e">
        <f t="shared" si="14"/>
        <v>#REF!</v>
      </c>
      <c r="M54" s="48" t="str">
        <f t="shared" si="15"/>
        <v/>
      </c>
      <c r="N54" s="49" t="e">
        <f t="shared" si="16"/>
        <v>#REF!</v>
      </c>
    </row>
    <row r="55" spans="1:14" x14ac:dyDescent="0.25">
      <c r="A55" s="17">
        <f t="shared" si="10"/>
        <v>2</v>
      </c>
      <c r="B55" t="s">
        <v>92</v>
      </c>
      <c r="C55" t="str">
        <f t="shared" si="17"/>
        <v>Soriano_2</v>
      </c>
      <c r="D55" s="43" t="e">
        <f t="shared" si="19"/>
        <v>#REF!</v>
      </c>
      <c r="E55" s="43" t="e">
        <f t="shared" si="20"/>
        <v>#REF!</v>
      </c>
      <c r="F55" s="42" t="e">
        <f t="shared" si="18"/>
        <v>#REF!</v>
      </c>
      <c r="G55" s="35">
        <v>0</v>
      </c>
      <c r="H55" s="51">
        <f t="shared" si="21"/>
        <v>0</v>
      </c>
      <c r="I55" s="52" t="e">
        <f t="shared" si="22"/>
        <v>#REF!</v>
      </c>
      <c r="J55" s="44" t="e">
        <f>IF(B55="Montevideo",#REF!,#REF!)</f>
        <v>#REF!</v>
      </c>
      <c r="K55" s="46" t="e">
        <f t="shared" si="13"/>
        <v>#REF!</v>
      </c>
      <c r="L55" s="47" t="e">
        <f t="shared" si="14"/>
        <v>#REF!</v>
      </c>
      <c r="M55" s="48" t="str">
        <f t="shared" si="15"/>
        <v/>
      </c>
      <c r="N55" s="49" t="e">
        <f t="shared" si="16"/>
        <v>#REF!</v>
      </c>
    </row>
    <row r="56" spans="1:14" x14ac:dyDescent="0.25">
      <c r="A56" s="17">
        <f t="shared" si="10"/>
        <v>2</v>
      </c>
      <c r="B56" t="s">
        <v>93</v>
      </c>
      <c r="C56" t="str">
        <f t="shared" si="17"/>
        <v>Tacuarembó_2</v>
      </c>
      <c r="D56" s="43" t="e">
        <f t="shared" si="19"/>
        <v>#REF!</v>
      </c>
      <c r="E56" s="43" t="e">
        <f t="shared" si="20"/>
        <v>#REF!</v>
      </c>
      <c r="F56" s="42" t="e">
        <f t="shared" si="18"/>
        <v>#REF!</v>
      </c>
      <c r="G56" s="35">
        <v>0</v>
      </c>
      <c r="H56" s="51">
        <f t="shared" si="21"/>
        <v>0</v>
      </c>
      <c r="I56" s="52" t="e">
        <f t="shared" si="22"/>
        <v>#REF!</v>
      </c>
      <c r="J56" s="44" t="e">
        <f>IF(B56="Montevideo",#REF!,#REF!)</f>
        <v>#REF!</v>
      </c>
      <c r="K56" s="46" t="e">
        <f t="shared" si="13"/>
        <v>#REF!</v>
      </c>
      <c r="L56" s="47" t="e">
        <f t="shared" si="14"/>
        <v>#REF!</v>
      </c>
      <c r="M56" s="48" t="str">
        <f t="shared" si="15"/>
        <v/>
      </c>
      <c r="N56" s="49" t="e">
        <f t="shared" si="16"/>
        <v>#REF!</v>
      </c>
    </row>
    <row r="57" spans="1:14" x14ac:dyDescent="0.25">
      <c r="A57" s="17">
        <f t="shared" si="10"/>
        <v>2</v>
      </c>
      <c r="B57" t="s">
        <v>94</v>
      </c>
      <c r="C57" t="str">
        <f t="shared" si="17"/>
        <v>Treinta y Tres_2</v>
      </c>
      <c r="D57" s="43" t="e">
        <f t="shared" si="19"/>
        <v>#REF!</v>
      </c>
      <c r="E57" s="43" t="e">
        <f t="shared" si="20"/>
        <v>#REF!</v>
      </c>
      <c r="F57" s="42" t="e">
        <f t="shared" si="18"/>
        <v>#REF!</v>
      </c>
      <c r="G57" s="35">
        <v>0</v>
      </c>
      <c r="H57" s="51">
        <f t="shared" si="21"/>
        <v>0</v>
      </c>
      <c r="I57" s="52" t="e">
        <f t="shared" si="22"/>
        <v>#REF!</v>
      </c>
      <c r="J57" s="44" t="e">
        <f>IF(B57="Montevideo",#REF!,#REF!)</f>
        <v>#REF!</v>
      </c>
      <c r="K57" s="46" t="e">
        <f t="shared" si="13"/>
        <v>#REF!</v>
      </c>
      <c r="L57" s="47" t="e">
        <f t="shared" si="14"/>
        <v>#REF!</v>
      </c>
      <c r="M57" s="48" t="str">
        <f t="shared" si="15"/>
        <v/>
      </c>
      <c r="N57" s="49" t="e">
        <f t="shared" si="16"/>
        <v>#REF!</v>
      </c>
    </row>
    <row r="58" spans="1:14" x14ac:dyDescent="0.25">
      <c r="A58" s="17">
        <f t="shared" si="10"/>
        <v>2</v>
      </c>
      <c r="B58" t="s">
        <v>21</v>
      </c>
      <c r="C58" t="str">
        <f t="shared" si="17"/>
        <v>Montevideo_2</v>
      </c>
      <c r="D58" s="43" t="e">
        <f t="shared" si="19"/>
        <v>#REF!</v>
      </c>
      <c r="E58" s="43" t="e">
        <f t="shared" si="20"/>
        <v>#REF!</v>
      </c>
      <c r="F58" s="42" t="e">
        <f t="shared" si="18"/>
        <v>#REF!</v>
      </c>
      <c r="G58" s="35">
        <v>0</v>
      </c>
      <c r="H58" s="51">
        <f t="shared" si="21"/>
        <v>0</v>
      </c>
      <c r="I58" s="52" t="e">
        <f t="shared" si="22"/>
        <v>#REF!</v>
      </c>
      <c r="J58" s="44" t="e">
        <f>IF(B58="Montevideo",#REF!,#REF!)</f>
        <v>#REF!</v>
      </c>
      <c r="K58" s="46" t="e">
        <f t="shared" si="13"/>
        <v>#REF!</v>
      </c>
      <c r="L58" s="47" t="e">
        <f t="shared" si="14"/>
        <v>#REF!</v>
      </c>
      <c r="M58" s="48" t="str">
        <f t="shared" si="15"/>
        <v/>
      </c>
      <c r="N58" s="49" t="e">
        <f t="shared" si="16"/>
        <v>#REF!</v>
      </c>
    </row>
    <row r="59" spans="1:14" x14ac:dyDescent="0.25">
      <c r="A59" s="17">
        <f>+A40+1</f>
        <v>3</v>
      </c>
      <c r="B59" t="s">
        <v>78</v>
      </c>
      <c r="C59" t="str">
        <f>CONCATENATE(B59,"_",A59)</f>
        <v>Artigas_3</v>
      </c>
      <c r="D59" s="43" t="e">
        <f t="shared" si="19"/>
        <v>#REF!</v>
      </c>
      <c r="E59" s="43" t="e">
        <f t="shared" si="20"/>
        <v>#REF!</v>
      </c>
      <c r="F59" s="42" t="e">
        <f t="shared" si="18"/>
        <v>#REF!</v>
      </c>
      <c r="G59" s="35">
        <v>0</v>
      </c>
      <c r="H59" s="51">
        <f t="shared" si="21"/>
        <v>2</v>
      </c>
      <c r="I59" s="52" t="e">
        <f t="shared" si="22"/>
        <v>#REF!</v>
      </c>
      <c r="J59" s="44" t="e">
        <f>IF(B59="Montevideo",#REF!,#REF!)</f>
        <v>#REF!</v>
      </c>
      <c r="K59" s="46" t="e">
        <f t="shared" si="13"/>
        <v>#REF!</v>
      </c>
      <c r="L59" s="47" t="e">
        <f t="shared" si="14"/>
        <v>#REF!</v>
      </c>
      <c r="M59" s="48" t="str">
        <f t="shared" si="15"/>
        <v/>
      </c>
      <c r="N59" s="49" t="e">
        <f t="shared" si="16"/>
        <v>#REF!</v>
      </c>
    </row>
    <row r="60" spans="1:14" x14ac:dyDescent="0.25">
      <c r="A60" s="17">
        <f t="shared" si="10"/>
        <v>3</v>
      </c>
      <c r="B60" t="s">
        <v>79</v>
      </c>
      <c r="C60" t="str">
        <f t="shared" ref="C60:C77" si="23">CONCATENATE(B60,"_",A60)</f>
        <v>Canelones_3</v>
      </c>
      <c r="D60" s="43" t="e">
        <f t="shared" si="19"/>
        <v>#REF!</v>
      </c>
      <c r="E60" s="43" t="e">
        <f t="shared" si="20"/>
        <v>#REF!</v>
      </c>
      <c r="F60" s="42" t="e">
        <f t="shared" ref="F60:F115" si="24">SUM(D60:E60)</f>
        <v>#REF!</v>
      </c>
      <c r="G60" s="35">
        <v>0</v>
      </c>
      <c r="H60" s="51">
        <f t="shared" si="21"/>
        <v>2</v>
      </c>
      <c r="I60" s="52" t="e">
        <f t="shared" si="22"/>
        <v>#REF!</v>
      </c>
      <c r="J60" s="44" t="e">
        <f>IF(B60="Montevideo",#REF!,#REF!)</f>
        <v>#REF!</v>
      </c>
      <c r="K60" s="46" t="e">
        <f t="shared" si="13"/>
        <v>#REF!</v>
      </c>
      <c r="L60" s="47" t="e">
        <f t="shared" si="14"/>
        <v>#REF!</v>
      </c>
      <c r="M60" s="48" t="str">
        <f t="shared" si="15"/>
        <v/>
      </c>
      <c r="N60" s="49" t="e">
        <f t="shared" si="16"/>
        <v>#REF!</v>
      </c>
    </row>
    <row r="61" spans="1:14" x14ac:dyDescent="0.25">
      <c r="A61" s="17">
        <f t="shared" si="10"/>
        <v>3</v>
      </c>
      <c r="B61" t="s">
        <v>80</v>
      </c>
      <c r="C61" t="str">
        <f t="shared" si="23"/>
        <v>Cerro Largo_3</v>
      </c>
      <c r="D61" s="43" t="e">
        <f t="shared" si="19"/>
        <v>#REF!</v>
      </c>
      <c r="E61" s="43" t="e">
        <f t="shared" si="20"/>
        <v>#REF!</v>
      </c>
      <c r="F61" s="42" t="e">
        <f t="shared" si="24"/>
        <v>#REF!</v>
      </c>
      <c r="G61" s="35">
        <v>0</v>
      </c>
      <c r="H61" s="51">
        <f t="shared" si="21"/>
        <v>2</v>
      </c>
      <c r="I61" s="52" t="e">
        <f t="shared" si="22"/>
        <v>#REF!</v>
      </c>
      <c r="J61" s="44" t="e">
        <f>IF(B61="Montevideo",#REF!,#REF!)</f>
        <v>#REF!</v>
      </c>
      <c r="K61" s="46" t="e">
        <f t="shared" si="13"/>
        <v>#REF!</v>
      </c>
      <c r="L61" s="47" t="e">
        <f t="shared" si="14"/>
        <v>#REF!</v>
      </c>
      <c r="M61" s="48" t="str">
        <f t="shared" si="15"/>
        <v/>
      </c>
      <c r="N61" s="49" t="e">
        <f t="shared" si="16"/>
        <v>#REF!</v>
      </c>
    </row>
    <row r="62" spans="1:14" x14ac:dyDescent="0.25">
      <c r="A62" s="17">
        <f t="shared" si="10"/>
        <v>3</v>
      </c>
      <c r="B62" t="s">
        <v>81</v>
      </c>
      <c r="C62" t="str">
        <f t="shared" si="23"/>
        <v>Colonia_3</v>
      </c>
      <c r="D62" s="43" t="e">
        <f t="shared" si="19"/>
        <v>#REF!</v>
      </c>
      <c r="E62" s="43" t="e">
        <f t="shared" si="20"/>
        <v>#REF!</v>
      </c>
      <c r="F62" s="42" t="e">
        <f t="shared" si="24"/>
        <v>#REF!</v>
      </c>
      <c r="G62" s="35">
        <v>0</v>
      </c>
      <c r="H62" s="51">
        <f t="shared" si="21"/>
        <v>2</v>
      </c>
      <c r="I62" s="52" t="e">
        <f t="shared" si="22"/>
        <v>#REF!</v>
      </c>
      <c r="J62" s="44" t="e">
        <f>IF(B62="Montevideo",#REF!,#REF!)</f>
        <v>#REF!</v>
      </c>
      <c r="K62" s="46" t="e">
        <f t="shared" si="13"/>
        <v>#REF!</v>
      </c>
      <c r="L62" s="47" t="e">
        <f t="shared" si="14"/>
        <v>#REF!</v>
      </c>
      <c r="M62" s="48" t="str">
        <f t="shared" si="15"/>
        <v/>
      </c>
      <c r="N62" s="49" t="e">
        <f t="shared" si="16"/>
        <v>#REF!</v>
      </c>
    </row>
    <row r="63" spans="1:14" x14ac:dyDescent="0.25">
      <c r="A63" s="17">
        <f t="shared" si="10"/>
        <v>3</v>
      </c>
      <c r="B63" t="s">
        <v>82</v>
      </c>
      <c r="C63" t="str">
        <f t="shared" si="23"/>
        <v>Durazno_3</v>
      </c>
      <c r="D63" s="43" t="e">
        <f t="shared" si="19"/>
        <v>#REF!</v>
      </c>
      <c r="E63" s="43" t="e">
        <f t="shared" si="20"/>
        <v>#REF!</v>
      </c>
      <c r="F63" s="42" t="e">
        <f t="shared" si="24"/>
        <v>#REF!</v>
      </c>
      <c r="G63" s="35">
        <v>0</v>
      </c>
      <c r="H63" s="51">
        <f t="shared" si="21"/>
        <v>2</v>
      </c>
      <c r="I63" s="52" t="e">
        <f t="shared" si="22"/>
        <v>#REF!</v>
      </c>
      <c r="J63" s="44" t="e">
        <f>IF(B63="Montevideo",#REF!,#REF!)</f>
        <v>#REF!</v>
      </c>
      <c r="K63" s="46" t="e">
        <f t="shared" si="13"/>
        <v>#REF!</v>
      </c>
      <c r="L63" s="47" t="e">
        <f t="shared" si="14"/>
        <v>#REF!</v>
      </c>
      <c r="M63" s="48" t="str">
        <f t="shared" si="15"/>
        <v/>
      </c>
      <c r="N63" s="49" t="e">
        <f t="shared" si="16"/>
        <v>#REF!</v>
      </c>
    </row>
    <row r="64" spans="1:14" x14ac:dyDescent="0.25">
      <c r="A64" s="17">
        <f t="shared" si="10"/>
        <v>3</v>
      </c>
      <c r="B64" t="s">
        <v>83</v>
      </c>
      <c r="C64" t="str">
        <f t="shared" si="23"/>
        <v>Flores_3</v>
      </c>
      <c r="D64" s="43" t="e">
        <f t="shared" si="19"/>
        <v>#REF!</v>
      </c>
      <c r="E64" s="43" t="e">
        <f t="shared" si="20"/>
        <v>#REF!</v>
      </c>
      <c r="F64" s="42" t="e">
        <f t="shared" si="24"/>
        <v>#REF!</v>
      </c>
      <c r="G64" s="35">
        <v>0</v>
      </c>
      <c r="H64" s="51">
        <f t="shared" si="21"/>
        <v>2</v>
      </c>
      <c r="I64" s="52" t="e">
        <f t="shared" si="22"/>
        <v>#REF!</v>
      </c>
      <c r="J64" s="44" t="e">
        <f>IF(B64="Montevideo",#REF!,#REF!)</f>
        <v>#REF!</v>
      </c>
      <c r="K64" s="46" t="e">
        <f t="shared" si="13"/>
        <v>#REF!</v>
      </c>
      <c r="L64" s="47" t="e">
        <f t="shared" si="14"/>
        <v>#REF!</v>
      </c>
      <c r="M64" s="48" t="str">
        <f t="shared" si="15"/>
        <v/>
      </c>
      <c r="N64" s="49" t="e">
        <f t="shared" si="16"/>
        <v>#REF!</v>
      </c>
    </row>
    <row r="65" spans="1:14" x14ac:dyDescent="0.25">
      <c r="A65" s="17">
        <f t="shared" si="10"/>
        <v>3</v>
      </c>
      <c r="B65" t="s">
        <v>84</v>
      </c>
      <c r="C65" t="str">
        <f t="shared" si="23"/>
        <v>Florida_3</v>
      </c>
      <c r="D65" s="43" t="e">
        <f t="shared" si="19"/>
        <v>#REF!</v>
      </c>
      <c r="E65" s="43" t="e">
        <f t="shared" si="20"/>
        <v>#REF!</v>
      </c>
      <c r="F65" s="42" t="e">
        <f t="shared" si="24"/>
        <v>#REF!</v>
      </c>
      <c r="G65" s="35">
        <v>0</v>
      </c>
      <c r="H65" s="51">
        <f t="shared" si="21"/>
        <v>2</v>
      </c>
      <c r="I65" s="52" t="e">
        <f t="shared" si="22"/>
        <v>#REF!</v>
      </c>
      <c r="J65" s="44" t="e">
        <f>IF(B65="Montevideo",#REF!,#REF!)</f>
        <v>#REF!</v>
      </c>
      <c r="K65" s="46" t="e">
        <f t="shared" si="13"/>
        <v>#REF!</v>
      </c>
      <c r="L65" s="47" t="e">
        <f t="shared" si="14"/>
        <v>#REF!</v>
      </c>
      <c r="M65" s="48" t="str">
        <f t="shared" si="15"/>
        <v/>
      </c>
      <c r="N65" s="49" t="e">
        <f t="shared" si="16"/>
        <v>#REF!</v>
      </c>
    </row>
    <row r="66" spans="1:14" x14ac:dyDescent="0.25">
      <c r="A66" s="17">
        <f t="shared" si="10"/>
        <v>3</v>
      </c>
      <c r="B66" t="s">
        <v>85</v>
      </c>
      <c r="C66" t="str">
        <f t="shared" si="23"/>
        <v>Lavalleja_3</v>
      </c>
      <c r="D66" s="43" t="e">
        <f t="shared" si="19"/>
        <v>#REF!</v>
      </c>
      <c r="E66" s="43" t="e">
        <f t="shared" si="20"/>
        <v>#REF!</v>
      </c>
      <c r="F66" s="42" t="e">
        <f t="shared" si="24"/>
        <v>#REF!</v>
      </c>
      <c r="G66" s="35">
        <v>0</v>
      </c>
      <c r="H66" s="51">
        <f t="shared" si="21"/>
        <v>2</v>
      </c>
      <c r="I66" s="52" t="e">
        <f t="shared" si="22"/>
        <v>#REF!</v>
      </c>
      <c r="J66" s="44" t="e">
        <f>IF(B66="Montevideo",#REF!,#REF!)</f>
        <v>#REF!</v>
      </c>
      <c r="K66" s="46" t="e">
        <f t="shared" ref="K66:K97" si="25">I66*J66</f>
        <v>#REF!</v>
      </c>
      <c r="L66" s="47" t="e">
        <f t="shared" ref="L66:L97" si="26">K66*F66</f>
        <v>#REF!</v>
      </c>
      <c r="M66" s="48" t="str">
        <f t="shared" ref="M66:M97" si="27">IFERROR(L66/SUMIF(A:A,A66,L:L),"")</f>
        <v/>
      </c>
      <c r="N66" s="49" t="e">
        <f t="shared" ref="N66:N97" si="28">F66/SUMIF(A:A,A66,F:F)</f>
        <v>#REF!</v>
      </c>
    </row>
    <row r="67" spans="1:14" x14ac:dyDescent="0.25">
      <c r="A67" s="17">
        <f t="shared" si="10"/>
        <v>3</v>
      </c>
      <c r="B67" t="s">
        <v>46</v>
      </c>
      <c r="C67" t="str">
        <f t="shared" si="23"/>
        <v>Maldonado_3</v>
      </c>
      <c r="D67" s="43" t="e">
        <f t="shared" si="19"/>
        <v>#REF!</v>
      </c>
      <c r="E67" s="43" t="e">
        <f t="shared" si="20"/>
        <v>#REF!</v>
      </c>
      <c r="F67" s="42" t="e">
        <f t="shared" si="24"/>
        <v>#REF!</v>
      </c>
      <c r="G67" s="35">
        <v>0</v>
      </c>
      <c r="H67" s="51">
        <f t="shared" si="21"/>
        <v>2</v>
      </c>
      <c r="I67" s="52" t="e">
        <f t="shared" si="22"/>
        <v>#REF!</v>
      </c>
      <c r="J67" s="44" t="e">
        <f>IF(B67="Montevideo",#REF!,#REF!)</f>
        <v>#REF!</v>
      </c>
      <c r="K67" s="46" t="e">
        <f t="shared" si="25"/>
        <v>#REF!</v>
      </c>
      <c r="L67" s="47" t="e">
        <f t="shared" si="26"/>
        <v>#REF!</v>
      </c>
      <c r="M67" s="48" t="str">
        <f t="shared" si="27"/>
        <v/>
      </c>
      <c r="N67" s="49" t="e">
        <f t="shared" si="28"/>
        <v>#REF!</v>
      </c>
    </row>
    <row r="68" spans="1:14" x14ac:dyDescent="0.25">
      <c r="A68" s="17">
        <f t="shared" si="10"/>
        <v>3</v>
      </c>
      <c r="B68" t="s">
        <v>86</v>
      </c>
      <c r="C68" t="str">
        <f t="shared" si="23"/>
        <v>Paysandú_3</v>
      </c>
      <c r="D68" s="43" t="e">
        <f t="shared" si="19"/>
        <v>#REF!</v>
      </c>
      <c r="E68" s="43" t="e">
        <f t="shared" si="20"/>
        <v>#REF!</v>
      </c>
      <c r="F68" s="42" t="e">
        <f t="shared" si="24"/>
        <v>#REF!</v>
      </c>
      <c r="G68" s="35">
        <v>0</v>
      </c>
      <c r="H68" s="51">
        <f t="shared" si="21"/>
        <v>2</v>
      </c>
      <c r="I68" s="52" t="e">
        <f t="shared" si="22"/>
        <v>#REF!</v>
      </c>
      <c r="J68" s="44" t="e">
        <f>IF(B68="Montevideo",#REF!,#REF!)</f>
        <v>#REF!</v>
      </c>
      <c r="K68" s="46" t="e">
        <f t="shared" si="25"/>
        <v>#REF!</v>
      </c>
      <c r="L68" s="47" t="e">
        <f t="shared" si="26"/>
        <v>#REF!</v>
      </c>
      <c r="M68" s="48" t="str">
        <f t="shared" si="27"/>
        <v/>
      </c>
      <c r="N68" s="49" t="e">
        <f t="shared" si="28"/>
        <v>#REF!</v>
      </c>
    </row>
    <row r="69" spans="1:14" x14ac:dyDescent="0.25">
      <c r="A69" s="17">
        <f t="shared" si="10"/>
        <v>3</v>
      </c>
      <c r="B69" t="s">
        <v>87</v>
      </c>
      <c r="C69" t="str">
        <f t="shared" si="23"/>
        <v>Río Negro_3</v>
      </c>
      <c r="D69" s="43" t="e">
        <f t="shared" si="19"/>
        <v>#REF!</v>
      </c>
      <c r="E69" s="43" t="e">
        <f t="shared" si="20"/>
        <v>#REF!</v>
      </c>
      <c r="F69" s="42" t="e">
        <f t="shared" si="24"/>
        <v>#REF!</v>
      </c>
      <c r="G69" s="35">
        <v>0</v>
      </c>
      <c r="H69" s="51">
        <f t="shared" si="21"/>
        <v>2</v>
      </c>
      <c r="I69" s="52" t="e">
        <f t="shared" si="22"/>
        <v>#REF!</v>
      </c>
      <c r="J69" s="44" t="e">
        <f>IF(B69="Montevideo",#REF!,#REF!)</f>
        <v>#REF!</v>
      </c>
      <c r="K69" s="46" t="e">
        <f t="shared" si="25"/>
        <v>#REF!</v>
      </c>
      <c r="L69" s="47" t="e">
        <f t="shared" si="26"/>
        <v>#REF!</v>
      </c>
      <c r="M69" s="48" t="str">
        <f t="shared" si="27"/>
        <v/>
      </c>
      <c r="N69" s="49" t="e">
        <f t="shared" si="28"/>
        <v>#REF!</v>
      </c>
    </row>
    <row r="70" spans="1:14" x14ac:dyDescent="0.25">
      <c r="A70" s="17">
        <f t="shared" si="10"/>
        <v>3</v>
      </c>
      <c r="B70" t="s">
        <v>88</v>
      </c>
      <c r="C70" t="str">
        <f t="shared" si="23"/>
        <v>Rivera_3</v>
      </c>
      <c r="D70" s="43" t="e">
        <f t="shared" si="19"/>
        <v>#REF!</v>
      </c>
      <c r="E70" s="43" t="e">
        <f t="shared" si="20"/>
        <v>#REF!</v>
      </c>
      <c r="F70" s="42" t="e">
        <f t="shared" si="24"/>
        <v>#REF!</v>
      </c>
      <c r="G70" s="35">
        <v>0</v>
      </c>
      <c r="H70" s="51">
        <f t="shared" si="21"/>
        <v>2</v>
      </c>
      <c r="I70" s="52" t="e">
        <f t="shared" si="22"/>
        <v>#REF!</v>
      </c>
      <c r="J70" s="44" t="e">
        <f>IF(B70="Montevideo",#REF!,#REF!)</f>
        <v>#REF!</v>
      </c>
      <c r="K70" s="46" t="e">
        <f t="shared" si="25"/>
        <v>#REF!</v>
      </c>
      <c r="L70" s="47" t="e">
        <f t="shared" si="26"/>
        <v>#REF!</v>
      </c>
      <c r="M70" s="48" t="str">
        <f t="shared" si="27"/>
        <v/>
      </c>
      <c r="N70" s="49" t="e">
        <f t="shared" si="28"/>
        <v>#REF!</v>
      </c>
    </row>
    <row r="71" spans="1:14" x14ac:dyDescent="0.25">
      <c r="A71" s="17">
        <f t="shared" si="10"/>
        <v>3</v>
      </c>
      <c r="B71" t="s">
        <v>89</v>
      </c>
      <c r="C71" t="str">
        <f t="shared" si="23"/>
        <v>Rocha_3</v>
      </c>
      <c r="D71" s="43" t="e">
        <f t="shared" si="19"/>
        <v>#REF!</v>
      </c>
      <c r="E71" s="43" t="e">
        <f t="shared" si="20"/>
        <v>#REF!</v>
      </c>
      <c r="F71" s="42" t="e">
        <f t="shared" si="24"/>
        <v>#REF!</v>
      </c>
      <c r="G71" s="35">
        <v>0</v>
      </c>
      <c r="H71" s="51">
        <f t="shared" si="21"/>
        <v>2</v>
      </c>
      <c r="I71" s="52" t="e">
        <f t="shared" si="22"/>
        <v>#REF!</v>
      </c>
      <c r="J71" s="44" t="e">
        <f>IF(B71="Montevideo",#REF!,#REF!)</f>
        <v>#REF!</v>
      </c>
      <c r="K71" s="46" t="e">
        <f t="shared" si="25"/>
        <v>#REF!</v>
      </c>
      <c r="L71" s="47" t="e">
        <f t="shared" si="26"/>
        <v>#REF!</v>
      </c>
      <c r="M71" s="48" t="str">
        <f t="shared" si="27"/>
        <v/>
      </c>
      <c r="N71" s="49" t="e">
        <f t="shared" si="28"/>
        <v>#REF!</v>
      </c>
    </row>
    <row r="72" spans="1:14" x14ac:dyDescent="0.25">
      <c r="A72" s="17">
        <f t="shared" si="10"/>
        <v>3</v>
      </c>
      <c r="B72" t="s">
        <v>90</v>
      </c>
      <c r="C72" t="str">
        <f t="shared" si="23"/>
        <v>Salto_3</v>
      </c>
      <c r="D72" s="43" t="e">
        <f t="shared" si="19"/>
        <v>#REF!</v>
      </c>
      <c r="E72" s="43" t="e">
        <f t="shared" si="20"/>
        <v>#REF!</v>
      </c>
      <c r="F72" s="42" t="e">
        <f t="shared" si="24"/>
        <v>#REF!</v>
      </c>
      <c r="G72" s="35">
        <v>0</v>
      </c>
      <c r="H72" s="51">
        <f t="shared" si="21"/>
        <v>2</v>
      </c>
      <c r="I72" s="52" t="e">
        <f t="shared" si="22"/>
        <v>#REF!</v>
      </c>
      <c r="J72" s="44" t="e">
        <f>IF(B72="Montevideo",#REF!,#REF!)</f>
        <v>#REF!</v>
      </c>
      <c r="K72" s="46" t="e">
        <f t="shared" si="25"/>
        <v>#REF!</v>
      </c>
      <c r="L72" s="47" t="e">
        <f t="shared" si="26"/>
        <v>#REF!</v>
      </c>
      <c r="M72" s="48" t="str">
        <f t="shared" si="27"/>
        <v/>
      </c>
      <c r="N72" s="49" t="e">
        <f t="shared" si="28"/>
        <v>#REF!</v>
      </c>
    </row>
    <row r="73" spans="1:14" x14ac:dyDescent="0.25">
      <c r="A73" s="17">
        <f t="shared" si="10"/>
        <v>3</v>
      </c>
      <c r="B73" t="s">
        <v>91</v>
      </c>
      <c r="C73" t="str">
        <f t="shared" si="23"/>
        <v>San José_3</v>
      </c>
      <c r="D73" s="43" t="e">
        <f t="shared" si="19"/>
        <v>#REF!</v>
      </c>
      <c r="E73" s="43" t="e">
        <f t="shared" si="20"/>
        <v>#REF!</v>
      </c>
      <c r="F73" s="42" t="e">
        <f t="shared" si="24"/>
        <v>#REF!</v>
      </c>
      <c r="G73" s="35">
        <v>0</v>
      </c>
      <c r="H73" s="51">
        <f t="shared" si="21"/>
        <v>2</v>
      </c>
      <c r="I73" s="52" t="e">
        <f t="shared" si="22"/>
        <v>#REF!</v>
      </c>
      <c r="J73" s="44" t="e">
        <f>IF(B73="Montevideo",#REF!,#REF!)</f>
        <v>#REF!</v>
      </c>
      <c r="K73" s="46" t="e">
        <f t="shared" si="25"/>
        <v>#REF!</v>
      </c>
      <c r="L73" s="47" t="e">
        <f t="shared" si="26"/>
        <v>#REF!</v>
      </c>
      <c r="M73" s="48" t="str">
        <f t="shared" si="27"/>
        <v/>
      </c>
      <c r="N73" s="49" t="e">
        <f t="shared" si="28"/>
        <v>#REF!</v>
      </c>
    </row>
    <row r="74" spans="1:14" x14ac:dyDescent="0.25">
      <c r="A74" s="17">
        <f t="shared" si="10"/>
        <v>3</v>
      </c>
      <c r="B74" t="s">
        <v>92</v>
      </c>
      <c r="C74" t="str">
        <f t="shared" si="23"/>
        <v>Soriano_3</v>
      </c>
      <c r="D74" s="43" t="e">
        <f t="shared" si="19"/>
        <v>#REF!</v>
      </c>
      <c r="E74" s="43" t="e">
        <f t="shared" si="20"/>
        <v>#REF!</v>
      </c>
      <c r="F74" s="42" t="e">
        <f t="shared" si="24"/>
        <v>#REF!</v>
      </c>
      <c r="G74" s="35">
        <v>0</v>
      </c>
      <c r="H74" s="51">
        <f t="shared" si="21"/>
        <v>2</v>
      </c>
      <c r="I74" s="52" t="e">
        <f t="shared" si="22"/>
        <v>#REF!</v>
      </c>
      <c r="J74" s="44" t="e">
        <f>IF(B74="Montevideo",#REF!,#REF!)</f>
        <v>#REF!</v>
      </c>
      <c r="K74" s="46" t="e">
        <f t="shared" si="25"/>
        <v>#REF!</v>
      </c>
      <c r="L74" s="47" t="e">
        <f t="shared" si="26"/>
        <v>#REF!</v>
      </c>
      <c r="M74" s="48" t="str">
        <f t="shared" si="27"/>
        <v/>
      </c>
      <c r="N74" s="49" t="e">
        <f t="shared" si="28"/>
        <v>#REF!</v>
      </c>
    </row>
    <row r="75" spans="1:14" x14ac:dyDescent="0.25">
      <c r="A75" s="17">
        <f t="shared" si="10"/>
        <v>3</v>
      </c>
      <c r="B75" t="s">
        <v>93</v>
      </c>
      <c r="C75" t="str">
        <f t="shared" si="23"/>
        <v>Tacuarembó_3</v>
      </c>
      <c r="D75" s="43" t="e">
        <f t="shared" si="19"/>
        <v>#REF!</v>
      </c>
      <c r="E75" s="43" t="e">
        <f t="shared" si="20"/>
        <v>#REF!</v>
      </c>
      <c r="F75" s="42" t="e">
        <f t="shared" si="24"/>
        <v>#REF!</v>
      </c>
      <c r="G75" s="35">
        <v>0</v>
      </c>
      <c r="H75" s="51">
        <f t="shared" si="21"/>
        <v>2</v>
      </c>
      <c r="I75" s="52" t="e">
        <f t="shared" si="22"/>
        <v>#REF!</v>
      </c>
      <c r="J75" s="44" t="e">
        <f>IF(B75="Montevideo",#REF!,#REF!)</f>
        <v>#REF!</v>
      </c>
      <c r="K75" s="46" t="e">
        <f t="shared" si="25"/>
        <v>#REF!</v>
      </c>
      <c r="L75" s="47" t="e">
        <f t="shared" si="26"/>
        <v>#REF!</v>
      </c>
      <c r="M75" s="48" t="str">
        <f t="shared" si="27"/>
        <v/>
      </c>
      <c r="N75" s="49" t="e">
        <f t="shared" si="28"/>
        <v>#REF!</v>
      </c>
    </row>
    <row r="76" spans="1:14" x14ac:dyDescent="0.25">
      <c r="A76" s="17">
        <f t="shared" si="10"/>
        <v>3</v>
      </c>
      <c r="B76" t="s">
        <v>94</v>
      </c>
      <c r="C76" t="str">
        <f t="shared" si="23"/>
        <v>Treinta y Tres_3</v>
      </c>
      <c r="D76" s="43" t="e">
        <f t="shared" si="19"/>
        <v>#REF!</v>
      </c>
      <c r="E76" s="43" t="e">
        <f t="shared" si="20"/>
        <v>#REF!</v>
      </c>
      <c r="F76" s="42" t="e">
        <f t="shared" si="24"/>
        <v>#REF!</v>
      </c>
      <c r="G76" s="35">
        <v>0</v>
      </c>
      <c r="H76" s="51">
        <f t="shared" si="21"/>
        <v>2</v>
      </c>
      <c r="I76" s="52" t="e">
        <f t="shared" si="22"/>
        <v>#REF!</v>
      </c>
      <c r="J76" s="44" t="e">
        <f>IF(B76="Montevideo",#REF!,#REF!)</f>
        <v>#REF!</v>
      </c>
      <c r="K76" s="46" t="e">
        <f t="shared" si="25"/>
        <v>#REF!</v>
      </c>
      <c r="L76" s="47" t="e">
        <f t="shared" si="26"/>
        <v>#REF!</v>
      </c>
      <c r="M76" s="48" t="str">
        <f t="shared" si="27"/>
        <v/>
      </c>
      <c r="N76" s="49" t="e">
        <f t="shared" si="28"/>
        <v>#REF!</v>
      </c>
    </row>
    <row r="77" spans="1:14" x14ac:dyDescent="0.25">
      <c r="A77" s="17">
        <f t="shared" si="10"/>
        <v>3</v>
      </c>
      <c r="B77" t="s">
        <v>21</v>
      </c>
      <c r="C77" t="str">
        <f t="shared" si="23"/>
        <v>Montevideo_3</v>
      </c>
      <c r="D77" s="43" t="e">
        <f t="shared" si="19"/>
        <v>#REF!</v>
      </c>
      <c r="E77" s="43" t="e">
        <f t="shared" si="20"/>
        <v>#REF!</v>
      </c>
      <c r="F77" s="42" t="e">
        <f t="shared" si="24"/>
        <v>#REF!</v>
      </c>
      <c r="G77" s="35">
        <v>0</v>
      </c>
      <c r="H77" s="51">
        <f t="shared" si="21"/>
        <v>2</v>
      </c>
      <c r="I77" s="52" t="e">
        <f t="shared" si="22"/>
        <v>#REF!</v>
      </c>
      <c r="J77" s="44" t="e">
        <f>IF(B77="Montevideo",#REF!,#REF!)</f>
        <v>#REF!</v>
      </c>
      <c r="K77" s="46" t="e">
        <f t="shared" si="25"/>
        <v>#REF!</v>
      </c>
      <c r="L77" s="47" t="e">
        <f t="shared" si="26"/>
        <v>#REF!</v>
      </c>
      <c r="M77" s="48" t="str">
        <f t="shared" si="27"/>
        <v/>
      </c>
      <c r="N77" s="49" t="e">
        <f t="shared" si="28"/>
        <v>#REF!</v>
      </c>
    </row>
    <row r="78" spans="1:14" x14ac:dyDescent="0.25">
      <c r="A78" s="17">
        <f>+A59+1</f>
        <v>4</v>
      </c>
      <c r="B78" t="s">
        <v>78</v>
      </c>
      <c r="C78" t="str">
        <f>CONCATENATE(B78,"_",A78)</f>
        <v>Artigas_4</v>
      </c>
      <c r="D78" s="43" t="e">
        <f t="shared" si="19"/>
        <v>#REF!</v>
      </c>
      <c r="E78" s="43" t="e">
        <f t="shared" si="20"/>
        <v>#REF!</v>
      </c>
      <c r="F78" s="42" t="e">
        <f t="shared" si="24"/>
        <v>#REF!</v>
      </c>
      <c r="G78" s="35">
        <v>0</v>
      </c>
      <c r="H78" s="51">
        <f t="shared" si="21"/>
        <v>3</v>
      </c>
      <c r="I78" s="52" t="e">
        <f t="shared" si="22"/>
        <v>#REF!</v>
      </c>
      <c r="J78" s="44" t="e">
        <f>IF(B78="Montevideo",#REF!,#REF!)</f>
        <v>#REF!</v>
      </c>
      <c r="K78" s="46" t="e">
        <f t="shared" si="25"/>
        <v>#REF!</v>
      </c>
      <c r="L78" s="47" t="e">
        <f t="shared" si="26"/>
        <v>#REF!</v>
      </c>
      <c r="M78" s="48" t="str">
        <f t="shared" si="27"/>
        <v/>
      </c>
      <c r="N78" s="49" t="e">
        <f t="shared" si="28"/>
        <v>#REF!</v>
      </c>
    </row>
    <row r="79" spans="1:14" x14ac:dyDescent="0.25">
      <c r="A79" s="17">
        <f t="shared" si="10"/>
        <v>4</v>
      </c>
      <c r="B79" t="s">
        <v>79</v>
      </c>
      <c r="C79" t="str">
        <f t="shared" ref="C79:C96" si="29">CONCATENATE(B79,"_",A79)</f>
        <v>Canelones_4</v>
      </c>
      <c r="D79" s="43" t="e">
        <f t="shared" si="19"/>
        <v>#REF!</v>
      </c>
      <c r="E79" s="43" t="e">
        <f t="shared" si="20"/>
        <v>#REF!</v>
      </c>
      <c r="F79" s="42" t="e">
        <f t="shared" si="24"/>
        <v>#REF!</v>
      </c>
      <c r="G79" s="35">
        <v>0</v>
      </c>
      <c r="H79" s="51">
        <f t="shared" si="21"/>
        <v>3</v>
      </c>
      <c r="I79" s="52" t="e">
        <f t="shared" si="22"/>
        <v>#REF!</v>
      </c>
      <c r="J79" s="44" t="e">
        <f>IF(B79="Montevideo",#REF!,#REF!)</f>
        <v>#REF!</v>
      </c>
      <c r="K79" s="46" t="e">
        <f t="shared" si="25"/>
        <v>#REF!</v>
      </c>
      <c r="L79" s="47" t="e">
        <f t="shared" si="26"/>
        <v>#REF!</v>
      </c>
      <c r="M79" s="48" t="str">
        <f t="shared" si="27"/>
        <v/>
      </c>
      <c r="N79" s="49" t="e">
        <f t="shared" si="28"/>
        <v>#REF!</v>
      </c>
    </row>
    <row r="80" spans="1:14" x14ac:dyDescent="0.25">
      <c r="A80" s="17">
        <f t="shared" si="10"/>
        <v>4</v>
      </c>
      <c r="B80" t="s">
        <v>80</v>
      </c>
      <c r="C80" t="str">
        <f t="shared" si="29"/>
        <v>Cerro Largo_4</v>
      </c>
      <c r="D80" s="43" t="e">
        <f t="shared" si="19"/>
        <v>#REF!</v>
      </c>
      <c r="E80" s="43" t="e">
        <f t="shared" si="20"/>
        <v>#REF!</v>
      </c>
      <c r="F80" s="42" t="e">
        <f t="shared" si="24"/>
        <v>#REF!</v>
      </c>
      <c r="G80" s="35">
        <v>0</v>
      </c>
      <c r="H80" s="51">
        <f t="shared" si="21"/>
        <v>3</v>
      </c>
      <c r="I80" s="52" t="e">
        <f t="shared" si="22"/>
        <v>#REF!</v>
      </c>
      <c r="J80" s="44" t="e">
        <f>IF(B80="Montevideo",#REF!,#REF!)</f>
        <v>#REF!</v>
      </c>
      <c r="K80" s="46" t="e">
        <f t="shared" si="25"/>
        <v>#REF!</v>
      </c>
      <c r="L80" s="47" t="e">
        <f t="shared" si="26"/>
        <v>#REF!</v>
      </c>
      <c r="M80" s="48" t="str">
        <f t="shared" si="27"/>
        <v/>
      </c>
      <c r="N80" s="49" t="e">
        <f t="shared" si="28"/>
        <v>#REF!</v>
      </c>
    </row>
    <row r="81" spans="1:14" x14ac:dyDescent="0.25">
      <c r="A81" s="17">
        <f t="shared" si="10"/>
        <v>4</v>
      </c>
      <c r="B81" t="s">
        <v>81</v>
      </c>
      <c r="C81" t="str">
        <f t="shared" si="29"/>
        <v>Colonia_4</v>
      </c>
      <c r="D81" s="43" t="e">
        <f t="shared" si="19"/>
        <v>#REF!</v>
      </c>
      <c r="E81" s="43" t="e">
        <f t="shared" si="20"/>
        <v>#REF!</v>
      </c>
      <c r="F81" s="42" t="e">
        <f t="shared" si="24"/>
        <v>#REF!</v>
      </c>
      <c r="G81" s="35">
        <v>0</v>
      </c>
      <c r="H81" s="51">
        <f t="shared" si="21"/>
        <v>3</v>
      </c>
      <c r="I81" s="52" t="e">
        <f t="shared" si="22"/>
        <v>#REF!</v>
      </c>
      <c r="J81" s="44" t="e">
        <f>IF(B81="Montevideo",#REF!,#REF!)</f>
        <v>#REF!</v>
      </c>
      <c r="K81" s="46" t="e">
        <f t="shared" si="25"/>
        <v>#REF!</v>
      </c>
      <c r="L81" s="47" t="e">
        <f t="shared" si="26"/>
        <v>#REF!</v>
      </c>
      <c r="M81" s="48" t="str">
        <f t="shared" si="27"/>
        <v/>
      </c>
      <c r="N81" s="49" t="e">
        <f t="shared" si="28"/>
        <v>#REF!</v>
      </c>
    </row>
    <row r="82" spans="1:14" x14ac:dyDescent="0.25">
      <c r="A82" s="17">
        <f t="shared" si="10"/>
        <v>4</v>
      </c>
      <c r="B82" t="s">
        <v>82</v>
      </c>
      <c r="C82" t="str">
        <f t="shared" si="29"/>
        <v>Durazno_4</v>
      </c>
      <c r="D82" s="43" t="e">
        <f t="shared" si="19"/>
        <v>#REF!</v>
      </c>
      <c r="E82" s="43" t="e">
        <f t="shared" si="20"/>
        <v>#REF!</v>
      </c>
      <c r="F82" s="42" t="e">
        <f t="shared" si="24"/>
        <v>#REF!</v>
      </c>
      <c r="G82" s="35">
        <v>0</v>
      </c>
      <c r="H82" s="51">
        <f t="shared" si="21"/>
        <v>3</v>
      </c>
      <c r="I82" s="52" t="e">
        <f t="shared" si="22"/>
        <v>#REF!</v>
      </c>
      <c r="J82" s="44" t="e">
        <f>IF(B82="Montevideo",#REF!,#REF!)</f>
        <v>#REF!</v>
      </c>
      <c r="K82" s="46" t="e">
        <f t="shared" si="25"/>
        <v>#REF!</v>
      </c>
      <c r="L82" s="47" t="e">
        <f t="shared" si="26"/>
        <v>#REF!</v>
      </c>
      <c r="M82" s="48" t="str">
        <f t="shared" si="27"/>
        <v/>
      </c>
      <c r="N82" s="49" t="e">
        <f t="shared" si="28"/>
        <v>#REF!</v>
      </c>
    </row>
    <row r="83" spans="1:14" x14ac:dyDescent="0.25">
      <c r="A83" s="17">
        <f t="shared" si="10"/>
        <v>4</v>
      </c>
      <c r="B83" t="s">
        <v>83</v>
      </c>
      <c r="C83" t="str">
        <f t="shared" si="29"/>
        <v>Flores_4</v>
      </c>
      <c r="D83" s="43" t="e">
        <f t="shared" si="19"/>
        <v>#REF!</v>
      </c>
      <c r="E83" s="43" t="e">
        <f t="shared" si="20"/>
        <v>#REF!</v>
      </c>
      <c r="F83" s="42" t="e">
        <f t="shared" si="24"/>
        <v>#REF!</v>
      </c>
      <c r="G83" s="35">
        <v>0</v>
      </c>
      <c r="H83" s="51">
        <f t="shared" si="21"/>
        <v>3</v>
      </c>
      <c r="I83" s="52" t="e">
        <f t="shared" si="22"/>
        <v>#REF!</v>
      </c>
      <c r="J83" s="44" t="e">
        <f>IF(B83="Montevideo",#REF!,#REF!)</f>
        <v>#REF!</v>
      </c>
      <c r="K83" s="46" t="e">
        <f t="shared" si="25"/>
        <v>#REF!</v>
      </c>
      <c r="L83" s="47" t="e">
        <f t="shared" si="26"/>
        <v>#REF!</v>
      </c>
      <c r="M83" s="48" t="str">
        <f t="shared" si="27"/>
        <v/>
      </c>
      <c r="N83" s="49" t="e">
        <f t="shared" si="28"/>
        <v>#REF!</v>
      </c>
    </row>
    <row r="84" spans="1:14" x14ac:dyDescent="0.25">
      <c r="A84" s="17">
        <f t="shared" si="10"/>
        <v>4</v>
      </c>
      <c r="B84" t="s">
        <v>84</v>
      </c>
      <c r="C84" t="str">
        <f t="shared" si="29"/>
        <v>Florida_4</v>
      </c>
      <c r="D84" s="43" t="e">
        <f t="shared" si="19"/>
        <v>#REF!</v>
      </c>
      <c r="E84" s="43" t="e">
        <f t="shared" si="20"/>
        <v>#REF!</v>
      </c>
      <c r="F84" s="42" t="e">
        <f t="shared" si="24"/>
        <v>#REF!</v>
      </c>
      <c r="G84" s="35">
        <v>0</v>
      </c>
      <c r="H84" s="51">
        <f t="shared" si="21"/>
        <v>3</v>
      </c>
      <c r="I84" s="52" t="e">
        <f t="shared" si="22"/>
        <v>#REF!</v>
      </c>
      <c r="J84" s="44" t="e">
        <f>IF(B84="Montevideo",#REF!,#REF!)</f>
        <v>#REF!</v>
      </c>
      <c r="K84" s="46" t="e">
        <f t="shared" si="25"/>
        <v>#REF!</v>
      </c>
      <c r="L84" s="47" t="e">
        <f t="shared" si="26"/>
        <v>#REF!</v>
      </c>
      <c r="M84" s="48" t="str">
        <f t="shared" si="27"/>
        <v/>
      </c>
      <c r="N84" s="49" t="e">
        <f t="shared" si="28"/>
        <v>#REF!</v>
      </c>
    </row>
    <row r="85" spans="1:14" x14ac:dyDescent="0.25">
      <c r="A85" s="17">
        <f t="shared" si="10"/>
        <v>4</v>
      </c>
      <c r="B85" t="s">
        <v>85</v>
      </c>
      <c r="C85" t="str">
        <f t="shared" si="29"/>
        <v>Lavalleja_4</v>
      </c>
      <c r="D85" s="43" t="e">
        <f t="shared" ref="D85:D115" si="30">VLOOKUP(CONCATENATE(B85,"_",A85-1),$C:$I,2,FALSE)+VLOOKUP(CONCATENATE(B85,"_",A85-1),$C:$I,3,FALSE)*$G85</f>
        <v>#REF!</v>
      </c>
      <c r="E85" s="43" t="e">
        <f t="shared" ref="E85:E115" si="31">VLOOKUP(CONCATENATE(B85,"_",A85-1),$C:$I,3,FALSE)*(1-$G85)</f>
        <v>#REF!</v>
      </c>
      <c r="F85" s="42" t="e">
        <f t="shared" si="24"/>
        <v>#REF!</v>
      </c>
      <c r="G85" s="35">
        <v>0</v>
      </c>
      <c r="H85" s="51">
        <f t="shared" ref="H85:H115" si="32">IF(A85&lt;=2,0,A85-1)</f>
        <v>3</v>
      </c>
      <c r="I85" s="52" t="e">
        <f t="shared" ref="I85:I115" si="33">(D85-VLOOKUP(CONCATENATE(B85,"_",H85),$C:$E,2,FALSE))/VLOOKUP(CONCATENATE(B85,"_",H85),$C:$E,3,FALSE)</f>
        <v>#REF!</v>
      </c>
      <c r="J85" s="44" t="e">
        <f>IF(B85="Montevideo",#REF!,#REF!)</f>
        <v>#REF!</v>
      </c>
      <c r="K85" s="46" t="e">
        <f t="shared" si="25"/>
        <v>#REF!</v>
      </c>
      <c r="L85" s="47" t="e">
        <f t="shared" si="26"/>
        <v>#REF!</v>
      </c>
      <c r="M85" s="48" t="str">
        <f t="shared" si="27"/>
        <v/>
      </c>
      <c r="N85" s="49" t="e">
        <f t="shared" si="28"/>
        <v>#REF!</v>
      </c>
    </row>
    <row r="86" spans="1:14" x14ac:dyDescent="0.25">
      <c r="A86" s="17">
        <f t="shared" ref="A86:A96" si="34">+A67+1</f>
        <v>4</v>
      </c>
      <c r="B86" t="s">
        <v>46</v>
      </c>
      <c r="C86" t="str">
        <f t="shared" si="29"/>
        <v>Maldonado_4</v>
      </c>
      <c r="D86" s="43" t="e">
        <f t="shared" si="30"/>
        <v>#REF!</v>
      </c>
      <c r="E86" s="43" t="e">
        <f t="shared" si="31"/>
        <v>#REF!</v>
      </c>
      <c r="F86" s="42" t="e">
        <f t="shared" si="24"/>
        <v>#REF!</v>
      </c>
      <c r="G86" s="35">
        <v>0</v>
      </c>
      <c r="H86" s="51">
        <f t="shared" si="32"/>
        <v>3</v>
      </c>
      <c r="I86" s="52" t="e">
        <f t="shared" si="33"/>
        <v>#REF!</v>
      </c>
      <c r="J86" s="44" t="e">
        <f>IF(B86="Montevideo",#REF!,#REF!)</f>
        <v>#REF!</v>
      </c>
      <c r="K86" s="46" t="e">
        <f t="shared" si="25"/>
        <v>#REF!</v>
      </c>
      <c r="L86" s="47" t="e">
        <f t="shared" si="26"/>
        <v>#REF!</v>
      </c>
      <c r="M86" s="48" t="str">
        <f t="shared" si="27"/>
        <v/>
      </c>
      <c r="N86" s="49" t="e">
        <f t="shared" si="28"/>
        <v>#REF!</v>
      </c>
    </row>
    <row r="87" spans="1:14" x14ac:dyDescent="0.25">
      <c r="A87" s="17">
        <f t="shared" si="34"/>
        <v>4</v>
      </c>
      <c r="B87" t="s">
        <v>86</v>
      </c>
      <c r="C87" t="str">
        <f t="shared" si="29"/>
        <v>Paysandú_4</v>
      </c>
      <c r="D87" s="43" t="e">
        <f t="shared" si="30"/>
        <v>#REF!</v>
      </c>
      <c r="E87" s="43" t="e">
        <f t="shared" si="31"/>
        <v>#REF!</v>
      </c>
      <c r="F87" s="42" t="e">
        <f t="shared" si="24"/>
        <v>#REF!</v>
      </c>
      <c r="G87" s="35">
        <v>0</v>
      </c>
      <c r="H87" s="51">
        <f t="shared" si="32"/>
        <v>3</v>
      </c>
      <c r="I87" s="52" t="e">
        <f t="shared" si="33"/>
        <v>#REF!</v>
      </c>
      <c r="J87" s="44" t="e">
        <f>IF(B87="Montevideo",#REF!,#REF!)</f>
        <v>#REF!</v>
      </c>
      <c r="K87" s="46" t="e">
        <f t="shared" si="25"/>
        <v>#REF!</v>
      </c>
      <c r="L87" s="47" t="e">
        <f t="shared" si="26"/>
        <v>#REF!</v>
      </c>
      <c r="M87" s="48" t="str">
        <f t="shared" si="27"/>
        <v/>
      </c>
      <c r="N87" s="49" t="e">
        <f t="shared" si="28"/>
        <v>#REF!</v>
      </c>
    </row>
    <row r="88" spans="1:14" x14ac:dyDescent="0.25">
      <c r="A88" s="17">
        <f t="shared" si="34"/>
        <v>4</v>
      </c>
      <c r="B88" t="s">
        <v>87</v>
      </c>
      <c r="C88" t="str">
        <f t="shared" si="29"/>
        <v>Río Negro_4</v>
      </c>
      <c r="D88" s="43" t="e">
        <f t="shared" si="30"/>
        <v>#REF!</v>
      </c>
      <c r="E88" s="43" t="e">
        <f t="shared" si="31"/>
        <v>#REF!</v>
      </c>
      <c r="F88" s="42" t="e">
        <f t="shared" si="24"/>
        <v>#REF!</v>
      </c>
      <c r="G88" s="35">
        <v>0</v>
      </c>
      <c r="H88" s="51">
        <f t="shared" si="32"/>
        <v>3</v>
      </c>
      <c r="I88" s="52" t="e">
        <f t="shared" si="33"/>
        <v>#REF!</v>
      </c>
      <c r="J88" s="44" t="e">
        <f>IF(B88="Montevideo",#REF!,#REF!)</f>
        <v>#REF!</v>
      </c>
      <c r="K88" s="46" t="e">
        <f t="shared" si="25"/>
        <v>#REF!</v>
      </c>
      <c r="L88" s="47" t="e">
        <f t="shared" si="26"/>
        <v>#REF!</v>
      </c>
      <c r="M88" s="48" t="str">
        <f t="shared" si="27"/>
        <v/>
      </c>
      <c r="N88" s="49" t="e">
        <f t="shared" si="28"/>
        <v>#REF!</v>
      </c>
    </row>
    <row r="89" spans="1:14" x14ac:dyDescent="0.25">
      <c r="A89" s="17">
        <f t="shared" si="34"/>
        <v>4</v>
      </c>
      <c r="B89" t="s">
        <v>88</v>
      </c>
      <c r="C89" t="str">
        <f t="shared" si="29"/>
        <v>Rivera_4</v>
      </c>
      <c r="D89" s="43" t="e">
        <f t="shared" si="30"/>
        <v>#REF!</v>
      </c>
      <c r="E89" s="43" t="e">
        <f t="shared" si="31"/>
        <v>#REF!</v>
      </c>
      <c r="F89" s="42" t="e">
        <f t="shared" si="24"/>
        <v>#REF!</v>
      </c>
      <c r="G89" s="35">
        <v>0</v>
      </c>
      <c r="H89" s="51">
        <f t="shared" si="32"/>
        <v>3</v>
      </c>
      <c r="I89" s="52" t="e">
        <f t="shared" si="33"/>
        <v>#REF!</v>
      </c>
      <c r="J89" s="44" t="e">
        <f>IF(B89="Montevideo",#REF!,#REF!)</f>
        <v>#REF!</v>
      </c>
      <c r="K89" s="46" t="e">
        <f t="shared" si="25"/>
        <v>#REF!</v>
      </c>
      <c r="L89" s="47" t="e">
        <f t="shared" si="26"/>
        <v>#REF!</v>
      </c>
      <c r="M89" s="48" t="str">
        <f t="shared" si="27"/>
        <v/>
      </c>
      <c r="N89" s="49" t="e">
        <f t="shared" si="28"/>
        <v>#REF!</v>
      </c>
    </row>
    <row r="90" spans="1:14" x14ac:dyDescent="0.25">
      <c r="A90" s="17">
        <f t="shared" si="34"/>
        <v>4</v>
      </c>
      <c r="B90" t="s">
        <v>89</v>
      </c>
      <c r="C90" t="str">
        <f t="shared" si="29"/>
        <v>Rocha_4</v>
      </c>
      <c r="D90" s="43" t="e">
        <f t="shared" si="30"/>
        <v>#REF!</v>
      </c>
      <c r="E90" s="43" t="e">
        <f t="shared" si="31"/>
        <v>#REF!</v>
      </c>
      <c r="F90" s="42" t="e">
        <f t="shared" si="24"/>
        <v>#REF!</v>
      </c>
      <c r="G90" s="35">
        <v>0</v>
      </c>
      <c r="H90" s="51">
        <f t="shared" si="32"/>
        <v>3</v>
      </c>
      <c r="I90" s="52" t="e">
        <f t="shared" si="33"/>
        <v>#REF!</v>
      </c>
      <c r="J90" s="44" t="e">
        <f>IF(B90="Montevideo",#REF!,#REF!)</f>
        <v>#REF!</v>
      </c>
      <c r="K90" s="46" t="e">
        <f t="shared" si="25"/>
        <v>#REF!</v>
      </c>
      <c r="L90" s="47" t="e">
        <f t="shared" si="26"/>
        <v>#REF!</v>
      </c>
      <c r="M90" s="48" t="str">
        <f t="shared" si="27"/>
        <v/>
      </c>
      <c r="N90" s="49" t="e">
        <f t="shared" si="28"/>
        <v>#REF!</v>
      </c>
    </row>
    <row r="91" spans="1:14" x14ac:dyDescent="0.25">
      <c r="A91" s="17">
        <f t="shared" si="34"/>
        <v>4</v>
      </c>
      <c r="B91" t="s">
        <v>90</v>
      </c>
      <c r="C91" t="str">
        <f t="shared" si="29"/>
        <v>Salto_4</v>
      </c>
      <c r="D91" s="43" t="e">
        <f t="shared" si="30"/>
        <v>#REF!</v>
      </c>
      <c r="E91" s="43" t="e">
        <f t="shared" si="31"/>
        <v>#REF!</v>
      </c>
      <c r="F91" s="42" t="e">
        <f t="shared" si="24"/>
        <v>#REF!</v>
      </c>
      <c r="G91" s="35">
        <v>0</v>
      </c>
      <c r="H91" s="51">
        <f t="shared" si="32"/>
        <v>3</v>
      </c>
      <c r="I91" s="52" t="e">
        <f t="shared" si="33"/>
        <v>#REF!</v>
      </c>
      <c r="J91" s="44" t="e">
        <f>IF(B91="Montevideo",#REF!,#REF!)</f>
        <v>#REF!</v>
      </c>
      <c r="K91" s="46" t="e">
        <f t="shared" si="25"/>
        <v>#REF!</v>
      </c>
      <c r="L91" s="47" t="e">
        <f t="shared" si="26"/>
        <v>#REF!</v>
      </c>
      <c r="M91" s="48" t="str">
        <f t="shared" si="27"/>
        <v/>
      </c>
      <c r="N91" s="49" t="e">
        <f t="shared" si="28"/>
        <v>#REF!</v>
      </c>
    </row>
    <row r="92" spans="1:14" x14ac:dyDescent="0.25">
      <c r="A92" s="17">
        <f t="shared" si="34"/>
        <v>4</v>
      </c>
      <c r="B92" t="s">
        <v>91</v>
      </c>
      <c r="C92" t="str">
        <f t="shared" si="29"/>
        <v>San José_4</v>
      </c>
      <c r="D92" s="43" t="e">
        <f t="shared" si="30"/>
        <v>#REF!</v>
      </c>
      <c r="E92" s="43" t="e">
        <f t="shared" si="31"/>
        <v>#REF!</v>
      </c>
      <c r="F92" s="42" t="e">
        <f t="shared" si="24"/>
        <v>#REF!</v>
      </c>
      <c r="G92" s="35">
        <v>0</v>
      </c>
      <c r="H92" s="51">
        <f t="shared" si="32"/>
        <v>3</v>
      </c>
      <c r="I92" s="52" t="e">
        <f t="shared" si="33"/>
        <v>#REF!</v>
      </c>
      <c r="J92" s="44" t="e">
        <f>IF(B92="Montevideo",#REF!,#REF!)</f>
        <v>#REF!</v>
      </c>
      <c r="K92" s="46" t="e">
        <f t="shared" si="25"/>
        <v>#REF!</v>
      </c>
      <c r="L92" s="47" t="e">
        <f t="shared" si="26"/>
        <v>#REF!</v>
      </c>
      <c r="M92" s="48" t="str">
        <f t="shared" si="27"/>
        <v/>
      </c>
      <c r="N92" s="49" t="e">
        <f t="shared" si="28"/>
        <v>#REF!</v>
      </c>
    </row>
    <row r="93" spans="1:14" x14ac:dyDescent="0.25">
      <c r="A93" s="17">
        <f t="shared" si="34"/>
        <v>4</v>
      </c>
      <c r="B93" t="s">
        <v>92</v>
      </c>
      <c r="C93" t="str">
        <f t="shared" si="29"/>
        <v>Soriano_4</v>
      </c>
      <c r="D93" s="43" t="e">
        <f t="shared" si="30"/>
        <v>#REF!</v>
      </c>
      <c r="E93" s="43" t="e">
        <f t="shared" si="31"/>
        <v>#REF!</v>
      </c>
      <c r="F93" s="42" t="e">
        <f t="shared" si="24"/>
        <v>#REF!</v>
      </c>
      <c r="G93" s="35">
        <v>0</v>
      </c>
      <c r="H93" s="51">
        <f t="shared" si="32"/>
        <v>3</v>
      </c>
      <c r="I93" s="52" t="e">
        <f t="shared" si="33"/>
        <v>#REF!</v>
      </c>
      <c r="J93" s="44" t="e">
        <f>IF(B93="Montevideo",#REF!,#REF!)</f>
        <v>#REF!</v>
      </c>
      <c r="K93" s="46" t="e">
        <f t="shared" si="25"/>
        <v>#REF!</v>
      </c>
      <c r="L93" s="47" t="e">
        <f t="shared" si="26"/>
        <v>#REF!</v>
      </c>
      <c r="M93" s="48" t="str">
        <f t="shared" si="27"/>
        <v/>
      </c>
      <c r="N93" s="49" t="e">
        <f t="shared" si="28"/>
        <v>#REF!</v>
      </c>
    </row>
    <row r="94" spans="1:14" x14ac:dyDescent="0.25">
      <c r="A94" s="17">
        <f t="shared" si="34"/>
        <v>4</v>
      </c>
      <c r="B94" t="s">
        <v>93</v>
      </c>
      <c r="C94" t="str">
        <f t="shared" si="29"/>
        <v>Tacuarembó_4</v>
      </c>
      <c r="D94" s="43" t="e">
        <f t="shared" si="30"/>
        <v>#REF!</v>
      </c>
      <c r="E94" s="43" t="e">
        <f t="shared" si="31"/>
        <v>#REF!</v>
      </c>
      <c r="F94" s="42" t="e">
        <f t="shared" si="24"/>
        <v>#REF!</v>
      </c>
      <c r="G94" s="35">
        <v>0</v>
      </c>
      <c r="H94" s="51">
        <f t="shared" si="32"/>
        <v>3</v>
      </c>
      <c r="I94" s="52" t="e">
        <f t="shared" si="33"/>
        <v>#REF!</v>
      </c>
      <c r="J94" s="44" t="e">
        <f>IF(B94="Montevideo",#REF!,#REF!)</f>
        <v>#REF!</v>
      </c>
      <c r="K94" s="46" t="e">
        <f t="shared" si="25"/>
        <v>#REF!</v>
      </c>
      <c r="L94" s="47" t="e">
        <f t="shared" si="26"/>
        <v>#REF!</v>
      </c>
      <c r="M94" s="48" t="str">
        <f t="shared" si="27"/>
        <v/>
      </c>
      <c r="N94" s="49" t="e">
        <f t="shared" si="28"/>
        <v>#REF!</v>
      </c>
    </row>
    <row r="95" spans="1:14" x14ac:dyDescent="0.25">
      <c r="A95" s="17">
        <f t="shared" si="34"/>
        <v>4</v>
      </c>
      <c r="B95" t="s">
        <v>94</v>
      </c>
      <c r="C95" t="str">
        <f t="shared" si="29"/>
        <v>Treinta y Tres_4</v>
      </c>
      <c r="D95" s="43" t="e">
        <f t="shared" si="30"/>
        <v>#REF!</v>
      </c>
      <c r="E95" s="43" t="e">
        <f t="shared" si="31"/>
        <v>#REF!</v>
      </c>
      <c r="F95" s="42" t="e">
        <f t="shared" si="24"/>
        <v>#REF!</v>
      </c>
      <c r="G95" s="35">
        <v>0</v>
      </c>
      <c r="H95" s="51">
        <f t="shared" si="32"/>
        <v>3</v>
      </c>
      <c r="I95" s="52" t="e">
        <f t="shared" si="33"/>
        <v>#REF!</v>
      </c>
      <c r="J95" s="44" t="e">
        <f>IF(B95="Montevideo",#REF!,#REF!)</f>
        <v>#REF!</v>
      </c>
      <c r="K95" s="46" t="e">
        <f t="shared" si="25"/>
        <v>#REF!</v>
      </c>
      <c r="L95" s="47" t="e">
        <f t="shared" si="26"/>
        <v>#REF!</v>
      </c>
      <c r="M95" s="48" t="str">
        <f t="shared" si="27"/>
        <v/>
      </c>
      <c r="N95" s="49" t="e">
        <f t="shared" si="28"/>
        <v>#REF!</v>
      </c>
    </row>
    <row r="96" spans="1:14" x14ac:dyDescent="0.25">
      <c r="A96" s="17">
        <f t="shared" si="34"/>
        <v>4</v>
      </c>
      <c r="B96" t="s">
        <v>21</v>
      </c>
      <c r="C96" t="str">
        <f t="shared" si="29"/>
        <v>Montevideo_4</v>
      </c>
      <c r="D96" s="43" t="e">
        <f t="shared" si="30"/>
        <v>#REF!</v>
      </c>
      <c r="E96" s="43" t="e">
        <f t="shared" si="31"/>
        <v>#REF!</v>
      </c>
      <c r="F96" s="42" t="e">
        <f t="shared" si="24"/>
        <v>#REF!</v>
      </c>
      <c r="G96" s="35">
        <v>0</v>
      </c>
      <c r="H96" s="51">
        <f t="shared" si="32"/>
        <v>3</v>
      </c>
      <c r="I96" s="52" t="e">
        <f t="shared" si="33"/>
        <v>#REF!</v>
      </c>
      <c r="J96" s="44" t="e">
        <f>IF(B96="Montevideo",#REF!,#REF!)</f>
        <v>#REF!</v>
      </c>
      <c r="K96" s="46" t="e">
        <f t="shared" si="25"/>
        <v>#REF!</v>
      </c>
      <c r="L96" s="47" t="e">
        <f t="shared" si="26"/>
        <v>#REF!</v>
      </c>
      <c r="M96" s="48" t="str">
        <f t="shared" si="27"/>
        <v/>
      </c>
      <c r="N96" s="49" t="e">
        <f t="shared" si="28"/>
        <v>#REF!</v>
      </c>
    </row>
    <row r="97" spans="1:14" x14ac:dyDescent="0.25">
      <c r="A97" s="17">
        <f>+A78+1</f>
        <v>5</v>
      </c>
      <c r="B97" t="s">
        <v>78</v>
      </c>
      <c r="C97" t="str">
        <f>CONCATENATE(B97,"_",A97)</f>
        <v>Artigas_5</v>
      </c>
      <c r="D97" s="43" t="e">
        <f t="shared" si="30"/>
        <v>#REF!</v>
      </c>
      <c r="E97" s="43" t="e">
        <f t="shared" si="31"/>
        <v>#REF!</v>
      </c>
      <c r="F97" s="42" t="e">
        <f t="shared" si="24"/>
        <v>#REF!</v>
      </c>
      <c r="G97" s="35">
        <v>0</v>
      </c>
      <c r="H97" s="51">
        <f t="shared" si="32"/>
        <v>4</v>
      </c>
      <c r="I97" s="52" t="e">
        <f t="shared" si="33"/>
        <v>#REF!</v>
      </c>
      <c r="J97" s="44" t="e">
        <f>IF(B97="Montevideo",#REF!,#REF!)</f>
        <v>#REF!</v>
      </c>
      <c r="K97" s="46" t="e">
        <f t="shared" si="25"/>
        <v>#REF!</v>
      </c>
      <c r="L97" s="47" t="e">
        <f t="shared" si="26"/>
        <v>#REF!</v>
      </c>
      <c r="M97" s="48" t="str">
        <f t="shared" si="27"/>
        <v/>
      </c>
      <c r="N97" s="49" t="e">
        <f t="shared" si="28"/>
        <v>#REF!</v>
      </c>
    </row>
    <row r="98" spans="1:14" x14ac:dyDescent="0.25">
      <c r="A98" s="17">
        <f t="shared" ref="A98:A115" si="35">+A79+1</f>
        <v>5</v>
      </c>
      <c r="B98" t="s">
        <v>79</v>
      </c>
      <c r="C98" t="str">
        <f t="shared" ref="C98:C115" si="36">CONCATENATE(B98,"_",A98)</f>
        <v>Canelones_5</v>
      </c>
      <c r="D98" s="43" t="e">
        <f t="shared" si="30"/>
        <v>#REF!</v>
      </c>
      <c r="E98" s="43" t="e">
        <f t="shared" si="31"/>
        <v>#REF!</v>
      </c>
      <c r="F98" s="42" t="e">
        <f t="shared" si="24"/>
        <v>#REF!</v>
      </c>
      <c r="G98" s="35">
        <v>0</v>
      </c>
      <c r="H98" s="51">
        <f t="shared" si="32"/>
        <v>4</v>
      </c>
      <c r="I98" s="52" t="e">
        <f t="shared" si="33"/>
        <v>#REF!</v>
      </c>
      <c r="J98" s="44" t="e">
        <f>IF(B98="Montevideo",#REF!,#REF!)</f>
        <v>#REF!</v>
      </c>
      <c r="K98" s="46" t="e">
        <f t="shared" ref="K98:K115" si="37">I98*J98</f>
        <v>#REF!</v>
      </c>
      <c r="L98" s="47" t="e">
        <f t="shared" ref="L98:L115" si="38">K98*F98</f>
        <v>#REF!</v>
      </c>
      <c r="M98" s="48" t="str">
        <f t="shared" ref="M98:M115" si="39">IFERROR(L98/SUMIF(A:A,A98,L:L),"")</f>
        <v/>
      </c>
      <c r="N98" s="49" t="e">
        <f t="shared" ref="N98:N115" si="40">F98/SUMIF(A:A,A98,F:F)</f>
        <v>#REF!</v>
      </c>
    </row>
    <row r="99" spans="1:14" x14ac:dyDescent="0.25">
      <c r="A99" s="17">
        <f t="shared" si="35"/>
        <v>5</v>
      </c>
      <c r="B99" t="s">
        <v>80</v>
      </c>
      <c r="C99" t="str">
        <f t="shared" si="36"/>
        <v>Cerro Largo_5</v>
      </c>
      <c r="D99" s="43" t="e">
        <f t="shared" si="30"/>
        <v>#REF!</v>
      </c>
      <c r="E99" s="43" t="e">
        <f t="shared" si="31"/>
        <v>#REF!</v>
      </c>
      <c r="F99" s="42" t="e">
        <f t="shared" si="24"/>
        <v>#REF!</v>
      </c>
      <c r="G99" s="35">
        <v>0</v>
      </c>
      <c r="H99" s="51">
        <f t="shared" si="32"/>
        <v>4</v>
      </c>
      <c r="I99" s="52" t="e">
        <f t="shared" si="33"/>
        <v>#REF!</v>
      </c>
      <c r="J99" s="44" t="e">
        <f>IF(B99="Montevideo",#REF!,#REF!)</f>
        <v>#REF!</v>
      </c>
      <c r="K99" s="46" t="e">
        <f t="shared" si="37"/>
        <v>#REF!</v>
      </c>
      <c r="L99" s="47" t="e">
        <f t="shared" si="38"/>
        <v>#REF!</v>
      </c>
      <c r="M99" s="48" t="str">
        <f t="shared" si="39"/>
        <v/>
      </c>
      <c r="N99" s="49" t="e">
        <f t="shared" si="40"/>
        <v>#REF!</v>
      </c>
    </row>
    <row r="100" spans="1:14" x14ac:dyDescent="0.25">
      <c r="A100" s="17">
        <f t="shared" si="35"/>
        <v>5</v>
      </c>
      <c r="B100" t="s">
        <v>81</v>
      </c>
      <c r="C100" t="str">
        <f t="shared" si="36"/>
        <v>Colonia_5</v>
      </c>
      <c r="D100" s="43" t="e">
        <f t="shared" si="30"/>
        <v>#REF!</v>
      </c>
      <c r="E100" s="43" t="e">
        <f t="shared" si="31"/>
        <v>#REF!</v>
      </c>
      <c r="F100" s="42" t="e">
        <f t="shared" si="24"/>
        <v>#REF!</v>
      </c>
      <c r="G100" s="35">
        <v>0</v>
      </c>
      <c r="H100" s="51">
        <f t="shared" si="32"/>
        <v>4</v>
      </c>
      <c r="I100" s="52" t="e">
        <f t="shared" si="33"/>
        <v>#REF!</v>
      </c>
      <c r="J100" s="44" t="e">
        <f>IF(B100="Montevideo",#REF!,#REF!)</f>
        <v>#REF!</v>
      </c>
      <c r="K100" s="46" t="e">
        <f t="shared" si="37"/>
        <v>#REF!</v>
      </c>
      <c r="L100" s="47" t="e">
        <f t="shared" si="38"/>
        <v>#REF!</v>
      </c>
      <c r="M100" s="48" t="str">
        <f t="shared" si="39"/>
        <v/>
      </c>
      <c r="N100" s="49" t="e">
        <f t="shared" si="40"/>
        <v>#REF!</v>
      </c>
    </row>
    <row r="101" spans="1:14" x14ac:dyDescent="0.25">
      <c r="A101" s="17">
        <f t="shared" si="35"/>
        <v>5</v>
      </c>
      <c r="B101" t="s">
        <v>82</v>
      </c>
      <c r="C101" t="str">
        <f t="shared" si="36"/>
        <v>Durazno_5</v>
      </c>
      <c r="D101" s="43" t="e">
        <f t="shared" si="30"/>
        <v>#REF!</v>
      </c>
      <c r="E101" s="43" t="e">
        <f t="shared" si="31"/>
        <v>#REF!</v>
      </c>
      <c r="F101" s="42" t="e">
        <f t="shared" si="24"/>
        <v>#REF!</v>
      </c>
      <c r="G101" s="35">
        <v>0</v>
      </c>
      <c r="H101" s="51">
        <f t="shared" si="32"/>
        <v>4</v>
      </c>
      <c r="I101" s="52" t="e">
        <f t="shared" si="33"/>
        <v>#REF!</v>
      </c>
      <c r="J101" s="44" t="e">
        <f>IF(B101="Montevideo",#REF!,#REF!)</f>
        <v>#REF!</v>
      </c>
      <c r="K101" s="46" t="e">
        <f t="shared" si="37"/>
        <v>#REF!</v>
      </c>
      <c r="L101" s="47" t="e">
        <f t="shared" si="38"/>
        <v>#REF!</v>
      </c>
      <c r="M101" s="48" t="str">
        <f t="shared" si="39"/>
        <v/>
      </c>
      <c r="N101" s="49" t="e">
        <f t="shared" si="40"/>
        <v>#REF!</v>
      </c>
    </row>
    <row r="102" spans="1:14" x14ac:dyDescent="0.25">
      <c r="A102" s="17">
        <f t="shared" si="35"/>
        <v>5</v>
      </c>
      <c r="B102" t="s">
        <v>83</v>
      </c>
      <c r="C102" t="str">
        <f t="shared" si="36"/>
        <v>Flores_5</v>
      </c>
      <c r="D102" s="43" t="e">
        <f t="shared" si="30"/>
        <v>#REF!</v>
      </c>
      <c r="E102" s="43" t="e">
        <f t="shared" si="31"/>
        <v>#REF!</v>
      </c>
      <c r="F102" s="42" t="e">
        <f t="shared" si="24"/>
        <v>#REF!</v>
      </c>
      <c r="G102" s="35">
        <v>0</v>
      </c>
      <c r="H102" s="51">
        <f t="shared" si="32"/>
        <v>4</v>
      </c>
      <c r="I102" s="52" t="e">
        <f t="shared" si="33"/>
        <v>#REF!</v>
      </c>
      <c r="J102" s="44" t="e">
        <f>IF(B102="Montevideo",#REF!,#REF!)</f>
        <v>#REF!</v>
      </c>
      <c r="K102" s="46" t="e">
        <f t="shared" si="37"/>
        <v>#REF!</v>
      </c>
      <c r="L102" s="47" t="e">
        <f t="shared" si="38"/>
        <v>#REF!</v>
      </c>
      <c r="M102" s="48" t="str">
        <f t="shared" si="39"/>
        <v/>
      </c>
      <c r="N102" s="49" t="e">
        <f t="shared" si="40"/>
        <v>#REF!</v>
      </c>
    </row>
    <row r="103" spans="1:14" x14ac:dyDescent="0.25">
      <c r="A103" s="17">
        <f t="shared" si="35"/>
        <v>5</v>
      </c>
      <c r="B103" t="s">
        <v>84</v>
      </c>
      <c r="C103" t="str">
        <f t="shared" si="36"/>
        <v>Florida_5</v>
      </c>
      <c r="D103" s="43" t="e">
        <f t="shared" si="30"/>
        <v>#REF!</v>
      </c>
      <c r="E103" s="43" t="e">
        <f t="shared" si="31"/>
        <v>#REF!</v>
      </c>
      <c r="F103" s="42" t="e">
        <f t="shared" si="24"/>
        <v>#REF!</v>
      </c>
      <c r="G103" s="35">
        <v>0</v>
      </c>
      <c r="H103" s="51">
        <f t="shared" si="32"/>
        <v>4</v>
      </c>
      <c r="I103" s="52" t="e">
        <f t="shared" si="33"/>
        <v>#REF!</v>
      </c>
      <c r="J103" s="44" t="e">
        <f>IF(B103="Montevideo",#REF!,#REF!)</f>
        <v>#REF!</v>
      </c>
      <c r="K103" s="46" t="e">
        <f t="shared" si="37"/>
        <v>#REF!</v>
      </c>
      <c r="L103" s="47" t="e">
        <f t="shared" si="38"/>
        <v>#REF!</v>
      </c>
      <c r="M103" s="48" t="str">
        <f t="shared" si="39"/>
        <v/>
      </c>
      <c r="N103" s="49" t="e">
        <f t="shared" si="40"/>
        <v>#REF!</v>
      </c>
    </row>
    <row r="104" spans="1:14" x14ac:dyDescent="0.25">
      <c r="A104" s="17">
        <f t="shared" si="35"/>
        <v>5</v>
      </c>
      <c r="B104" t="s">
        <v>85</v>
      </c>
      <c r="C104" t="str">
        <f t="shared" si="36"/>
        <v>Lavalleja_5</v>
      </c>
      <c r="D104" s="43" t="e">
        <f t="shared" si="30"/>
        <v>#REF!</v>
      </c>
      <c r="E104" s="43" t="e">
        <f t="shared" si="31"/>
        <v>#REF!</v>
      </c>
      <c r="F104" s="42" t="e">
        <f t="shared" si="24"/>
        <v>#REF!</v>
      </c>
      <c r="G104" s="35">
        <v>0</v>
      </c>
      <c r="H104" s="51">
        <f t="shared" si="32"/>
        <v>4</v>
      </c>
      <c r="I104" s="52" t="e">
        <f t="shared" si="33"/>
        <v>#REF!</v>
      </c>
      <c r="J104" s="44" t="e">
        <f>IF(B104="Montevideo",#REF!,#REF!)</f>
        <v>#REF!</v>
      </c>
      <c r="K104" s="46" t="e">
        <f t="shared" si="37"/>
        <v>#REF!</v>
      </c>
      <c r="L104" s="47" t="e">
        <f t="shared" si="38"/>
        <v>#REF!</v>
      </c>
      <c r="M104" s="48" t="str">
        <f t="shared" si="39"/>
        <v/>
      </c>
      <c r="N104" s="49" t="e">
        <f t="shared" si="40"/>
        <v>#REF!</v>
      </c>
    </row>
    <row r="105" spans="1:14" x14ac:dyDescent="0.25">
      <c r="A105" s="17">
        <f t="shared" si="35"/>
        <v>5</v>
      </c>
      <c r="B105" t="s">
        <v>46</v>
      </c>
      <c r="C105" t="str">
        <f t="shared" si="36"/>
        <v>Maldonado_5</v>
      </c>
      <c r="D105" s="43" t="e">
        <f t="shared" si="30"/>
        <v>#REF!</v>
      </c>
      <c r="E105" s="43" t="e">
        <f t="shared" si="31"/>
        <v>#REF!</v>
      </c>
      <c r="F105" s="42" t="e">
        <f t="shared" si="24"/>
        <v>#REF!</v>
      </c>
      <c r="G105" s="35">
        <v>0</v>
      </c>
      <c r="H105" s="51">
        <f t="shared" si="32"/>
        <v>4</v>
      </c>
      <c r="I105" s="52" t="e">
        <f t="shared" si="33"/>
        <v>#REF!</v>
      </c>
      <c r="J105" s="44" t="e">
        <f>IF(B105="Montevideo",#REF!,#REF!)</f>
        <v>#REF!</v>
      </c>
      <c r="K105" s="46" t="e">
        <f t="shared" si="37"/>
        <v>#REF!</v>
      </c>
      <c r="L105" s="47" t="e">
        <f t="shared" si="38"/>
        <v>#REF!</v>
      </c>
      <c r="M105" s="48" t="str">
        <f t="shared" si="39"/>
        <v/>
      </c>
      <c r="N105" s="49" t="e">
        <f t="shared" si="40"/>
        <v>#REF!</v>
      </c>
    </row>
    <row r="106" spans="1:14" x14ac:dyDescent="0.25">
      <c r="A106" s="17">
        <f t="shared" si="35"/>
        <v>5</v>
      </c>
      <c r="B106" t="s">
        <v>86</v>
      </c>
      <c r="C106" t="str">
        <f t="shared" si="36"/>
        <v>Paysandú_5</v>
      </c>
      <c r="D106" s="43" t="e">
        <f t="shared" si="30"/>
        <v>#REF!</v>
      </c>
      <c r="E106" s="43" t="e">
        <f t="shared" si="31"/>
        <v>#REF!</v>
      </c>
      <c r="F106" s="42" t="e">
        <f t="shared" si="24"/>
        <v>#REF!</v>
      </c>
      <c r="G106" s="35">
        <v>0</v>
      </c>
      <c r="H106" s="51">
        <f t="shared" si="32"/>
        <v>4</v>
      </c>
      <c r="I106" s="52" t="e">
        <f t="shared" si="33"/>
        <v>#REF!</v>
      </c>
      <c r="J106" s="44" t="e">
        <f>IF(B106="Montevideo",#REF!,#REF!)</f>
        <v>#REF!</v>
      </c>
      <c r="K106" s="46" t="e">
        <f t="shared" si="37"/>
        <v>#REF!</v>
      </c>
      <c r="L106" s="47" t="e">
        <f t="shared" si="38"/>
        <v>#REF!</v>
      </c>
      <c r="M106" s="48" t="str">
        <f t="shared" si="39"/>
        <v/>
      </c>
      <c r="N106" s="49" t="e">
        <f t="shared" si="40"/>
        <v>#REF!</v>
      </c>
    </row>
    <row r="107" spans="1:14" x14ac:dyDescent="0.25">
      <c r="A107" s="17">
        <f t="shared" si="35"/>
        <v>5</v>
      </c>
      <c r="B107" t="s">
        <v>87</v>
      </c>
      <c r="C107" t="str">
        <f t="shared" si="36"/>
        <v>Río Negro_5</v>
      </c>
      <c r="D107" s="43" t="e">
        <f t="shared" si="30"/>
        <v>#REF!</v>
      </c>
      <c r="E107" s="43" t="e">
        <f t="shared" si="31"/>
        <v>#REF!</v>
      </c>
      <c r="F107" s="42" t="e">
        <f t="shared" si="24"/>
        <v>#REF!</v>
      </c>
      <c r="G107" s="35">
        <v>0</v>
      </c>
      <c r="H107" s="51">
        <f t="shared" si="32"/>
        <v>4</v>
      </c>
      <c r="I107" s="52" t="e">
        <f t="shared" si="33"/>
        <v>#REF!</v>
      </c>
      <c r="J107" s="44" t="e">
        <f>IF(B107="Montevideo",#REF!,#REF!)</f>
        <v>#REF!</v>
      </c>
      <c r="K107" s="46" t="e">
        <f t="shared" si="37"/>
        <v>#REF!</v>
      </c>
      <c r="L107" s="47" t="e">
        <f t="shared" si="38"/>
        <v>#REF!</v>
      </c>
      <c r="M107" s="48" t="str">
        <f t="shared" si="39"/>
        <v/>
      </c>
      <c r="N107" s="49" t="e">
        <f t="shared" si="40"/>
        <v>#REF!</v>
      </c>
    </row>
    <row r="108" spans="1:14" x14ac:dyDescent="0.25">
      <c r="A108" s="17">
        <f t="shared" si="35"/>
        <v>5</v>
      </c>
      <c r="B108" t="s">
        <v>88</v>
      </c>
      <c r="C108" t="str">
        <f t="shared" si="36"/>
        <v>Rivera_5</v>
      </c>
      <c r="D108" s="43" t="e">
        <f t="shared" si="30"/>
        <v>#REF!</v>
      </c>
      <c r="E108" s="43" t="e">
        <f t="shared" si="31"/>
        <v>#REF!</v>
      </c>
      <c r="F108" s="42" t="e">
        <f t="shared" si="24"/>
        <v>#REF!</v>
      </c>
      <c r="G108" s="35">
        <v>0</v>
      </c>
      <c r="H108" s="51">
        <f t="shared" si="32"/>
        <v>4</v>
      </c>
      <c r="I108" s="52" t="e">
        <f t="shared" si="33"/>
        <v>#REF!</v>
      </c>
      <c r="J108" s="44" t="e">
        <f>IF(B108="Montevideo",#REF!,#REF!)</f>
        <v>#REF!</v>
      </c>
      <c r="K108" s="46" t="e">
        <f t="shared" si="37"/>
        <v>#REF!</v>
      </c>
      <c r="L108" s="47" t="e">
        <f t="shared" si="38"/>
        <v>#REF!</v>
      </c>
      <c r="M108" s="48" t="str">
        <f t="shared" si="39"/>
        <v/>
      </c>
      <c r="N108" s="49" t="e">
        <f t="shared" si="40"/>
        <v>#REF!</v>
      </c>
    </row>
    <row r="109" spans="1:14" x14ac:dyDescent="0.25">
      <c r="A109" s="17">
        <f t="shared" si="35"/>
        <v>5</v>
      </c>
      <c r="B109" t="s">
        <v>89</v>
      </c>
      <c r="C109" t="str">
        <f t="shared" si="36"/>
        <v>Rocha_5</v>
      </c>
      <c r="D109" s="43" t="e">
        <f t="shared" si="30"/>
        <v>#REF!</v>
      </c>
      <c r="E109" s="43" t="e">
        <f t="shared" si="31"/>
        <v>#REF!</v>
      </c>
      <c r="F109" s="42" t="e">
        <f t="shared" si="24"/>
        <v>#REF!</v>
      </c>
      <c r="G109" s="35">
        <v>0</v>
      </c>
      <c r="H109" s="51">
        <f t="shared" si="32"/>
        <v>4</v>
      </c>
      <c r="I109" s="52" t="e">
        <f t="shared" si="33"/>
        <v>#REF!</v>
      </c>
      <c r="J109" s="44" t="e">
        <f>IF(B109="Montevideo",#REF!,#REF!)</f>
        <v>#REF!</v>
      </c>
      <c r="K109" s="46" t="e">
        <f t="shared" si="37"/>
        <v>#REF!</v>
      </c>
      <c r="L109" s="47" t="e">
        <f t="shared" si="38"/>
        <v>#REF!</v>
      </c>
      <c r="M109" s="48" t="str">
        <f t="shared" si="39"/>
        <v/>
      </c>
      <c r="N109" s="49" t="e">
        <f t="shared" si="40"/>
        <v>#REF!</v>
      </c>
    </row>
    <row r="110" spans="1:14" x14ac:dyDescent="0.25">
      <c r="A110" s="17">
        <f t="shared" si="35"/>
        <v>5</v>
      </c>
      <c r="B110" t="s">
        <v>90</v>
      </c>
      <c r="C110" t="str">
        <f t="shared" si="36"/>
        <v>Salto_5</v>
      </c>
      <c r="D110" s="43" t="e">
        <f t="shared" si="30"/>
        <v>#REF!</v>
      </c>
      <c r="E110" s="43" t="e">
        <f t="shared" si="31"/>
        <v>#REF!</v>
      </c>
      <c r="F110" s="42" t="e">
        <f t="shared" si="24"/>
        <v>#REF!</v>
      </c>
      <c r="G110" s="35">
        <v>0</v>
      </c>
      <c r="H110" s="51">
        <f t="shared" si="32"/>
        <v>4</v>
      </c>
      <c r="I110" s="52" t="e">
        <f t="shared" si="33"/>
        <v>#REF!</v>
      </c>
      <c r="J110" s="44" t="e">
        <f>IF(B110="Montevideo",#REF!,#REF!)</f>
        <v>#REF!</v>
      </c>
      <c r="K110" s="46" t="e">
        <f t="shared" si="37"/>
        <v>#REF!</v>
      </c>
      <c r="L110" s="47" t="e">
        <f t="shared" si="38"/>
        <v>#REF!</v>
      </c>
      <c r="M110" s="48" t="str">
        <f t="shared" si="39"/>
        <v/>
      </c>
      <c r="N110" s="49" t="e">
        <f t="shared" si="40"/>
        <v>#REF!</v>
      </c>
    </row>
    <row r="111" spans="1:14" x14ac:dyDescent="0.25">
      <c r="A111" s="17">
        <f t="shared" si="35"/>
        <v>5</v>
      </c>
      <c r="B111" t="s">
        <v>91</v>
      </c>
      <c r="C111" t="str">
        <f t="shared" si="36"/>
        <v>San José_5</v>
      </c>
      <c r="D111" s="43" t="e">
        <f t="shared" si="30"/>
        <v>#REF!</v>
      </c>
      <c r="E111" s="43" t="e">
        <f t="shared" si="31"/>
        <v>#REF!</v>
      </c>
      <c r="F111" s="42" t="e">
        <f t="shared" si="24"/>
        <v>#REF!</v>
      </c>
      <c r="G111" s="35">
        <v>0</v>
      </c>
      <c r="H111" s="51">
        <f t="shared" si="32"/>
        <v>4</v>
      </c>
      <c r="I111" s="52" t="e">
        <f t="shared" si="33"/>
        <v>#REF!</v>
      </c>
      <c r="J111" s="44" t="e">
        <f>IF(B111="Montevideo",#REF!,#REF!)</f>
        <v>#REF!</v>
      </c>
      <c r="K111" s="46" t="e">
        <f t="shared" si="37"/>
        <v>#REF!</v>
      </c>
      <c r="L111" s="47" t="e">
        <f t="shared" si="38"/>
        <v>#REF!</v>
      </c>
      <c r="M111" s="48" t="str">
        <f t="shared" si="39"/>
        <v/>
      </c>
      <c r="N111" s="49" t="e">
        <f t="shared" si="40"/>
        <v>#REF!</v>
      </c>
    </row>
    <row r="112" spans="1:14" x14ac:dyDescent="0.25">
      <c r="A112" s="17">
        <f t="shared" si="35"/>
        <v>5</v>
      </c>
      <c r="B112" t="s">
        <v>92</v>
      </c>
      <c r="C112" t="str">
        <f t="shared" si="36"/>
        <v>Soriano_5</v>
      </c>
      <c r="D112" s="43" t="e">
        <f t="shared" si="30"/>
        <v>#REF!</v>
      </c>
      <c r="E112" s="43" t="e">
        <f t="shared" si="31"/>
        <v>#REF!</v>
      </c>
      <c r="F112" s="42" t="e">
        <f t="shared" si="24"/>
        <v>#REF!</v>
      </c>
      <c r="G112" s="35">
        <v>0</v>
      </c>
      <c r="H112" s="51">
        <f t="shared" si="32"/>
        <v>4</v>
      </c>
      <c r="I112" s="52" t="e">
        <f t="shared" si="33"/>
        <v>#REF!</v>
      </c>
      <c r="J112" s="44" t="e">
        <f>IF(B112="Montevideo",#REF!,#REF!)</f>
        <v>#REF!</v>
      </c>
      <c r="K112" s="46" t="e">
        <f t="shared" si="37"/>
        <v>#REF!</v>
      </c>
      <c r="L112" s="47" t="e">
        <f t="shared" si="38"/>
        <v>#REF!</v>
      </c>
      <c r="M112" s="48" t="str">
        <f t="shared" si="39"/>
        <v/>
      </c>
      <c r="N112" s="49" t="e">
        <f t="shared" si="40"/>
        <v>#REF!</v>
      </c>
    </row>
    <row r="113" spans="1:14" x14ac:dyDescent="0.25">
      <c r="A113" s="17">
        <f t="shared" si="35"/>
        <v>5</v>
      </c>
      <c r="B113" t="s">
        <v>93</v>
      </c>
      <c r="C113" t="str">
        <f t="shared" si="36"/>
        <v>Tacuarembó_5</v>
      </c>
      <c r="D113" s="43" t="e">
        <f t="shared" si="30"/>
        <v>#REF!</v>
      </c>
      <c r="E113" s="43" t="e">
        <f t="shared" si="31"/>
        <v>#REF!</v>
      </c>
      <c r="F113" s="42" t="e">
        <f t="shared" si="24"/>
        <v>#REF!</v>
      </c>
      <c r="G113" s="35">
        <v>0</v>
      </c>
      <c r="H113" s="51">
        <f t="shared" si="32"/>
        <v>4</v>
      </c>
      <c r="I113" s="52" t="e">
        <f t="shared" si="33"/>
        <v>#REF!</v>
      </c>
      <c r="J113" s="44" t="e">
        <f>IF(B113="Montevideo",#REF!,#REF!)</f>
        <v>#REF!</v>
      </c>
      <c r="K113" s="46" t="e">
        <f t="shared" si="37"/>
        <v>#REF!</v>
      </c>
      <c r="L113" s="47" t="e">
        <f t="shared" si="38"/>
        <v>#REF!</v>
      </c>
      <c r="M113" s="48" t="str">
        <f t="shared" si="39"/>
        <v/>
      </c>
      <c r="N113" s="49" t="e">
        <f t="shared" si="40"/>
        <v>#REF!</v>
      </c>
    </row>
    <row r="114" spans="1:14" x14ac:dyDescent="0.25">
      <c r="A114" s="17">
        <f t="shared" si="35"/>
        <v>5</v>
      </c>
      <c r="B114" t="s">
        <v>94</v>
      </c>
      <c r="C114" t="str">
        <f t="shared" si="36"/>
        <v>Treinta y Tres_5</v>
      </c>
      <c r="D114" s="43" t="e">
        <f t="shared" si="30"/>
        <v>#REF!</v>
      </c>
      <c r="E114" s="43" t="e">
        <f t="shared" si="31"/>
        <v>#REF!</v>
      </c>
      <c r="F114" s="42" t="e">
        <f t="shared" si="24"/>
        <v>#REF!</v>
      </c>
      <c r="G114" s="35">
        <v>0</v>
      </c>
      <c r="H114" s="51">
        <f t="shared" si="32"/>
        <v>4</v>
      </c>
      <c r="I114" s="52" t="e">
        <f t="shared" si="33"/>
        <v>#REF!</v>
      </c>
      <c r="J114" s="44" t="e">
        <f>IF(B114="Montevideo",#REF!,#REF!)</f>
        <v>#REF!</v>
      </c>
      <c r="K114" s="46" t="e">
        <f t="shared" si="37"/>
        <v>#REF!</v>
      </c>
      <c r="L114" s="47" t="e">
        <f t="shared" si="38"/>
        <v>#REF!</v>
      </c>
      <c r="M114" s="48" t="str">
        <f t="shared" si="39"/>
        <v/>
      </c>
      <c r="N114" s="49" t="e">
        <f t="shared" si="40"/>
        <v>#REF!</v>
      </c>
    </row>
    <row r="115" spans="1:14" x14ac:dyDescent="0.25">
      <c r="A115" s="17">
        <f t="shared" si="35"/>
        <v>5</v>
      </c>
      <c r="B115" t="s">
        <v>21</v>
      </c>
      <c r="C115" t="str">
        <f t="shared" si="36"/>
        <v>Montevideo_5</v>
      </c>
      <c r="D115" s="43" t="e">
        <f t="shared" si="30"/>
        <v>#REF!</v>
      </c>
      <c r="E115" s="43" t="e">
        <f t="shared" si="31"/>
        <v>#REF!</v>
      </c>
      <c r="F115" s="42" t="e">
        <f t="shared" si="24"/>
        <v>#REF!</v>
      </c>
      <c r="G115" s="35">
        <v>0</v>
      </c>
      <c r="H115" s="51">
        <f t="shared" si="32"/>
        <v>4</v>
      </c>
      <c r="I115" s="52" t="e">
        <f t="shared" si="33"/>
        <v>#REF!</v>
      </c>
      <c r="J115" s="44" t="e">
        <f>IF(B115="Montevideo",#REF!,#REF!)</f>
        <v>#REF!</v>
      </c>
      <c r="K115" s="46" t="e">
        <f t="shared" si="37"/>
        <v>#REF!</v>
      </c>
      <c r="L115" s="47" t="e">
        <f t="shared" si="38"/>
        <v>#REF!</v>
      </c>
      <c r="M115" s="48" t="str">
        <f t="shared" si="39"/>
        <v/>
      </c>
      <c r="N115" s="49" t="e">
        <f t="shared" si="40"/>
        <v>#REF!</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31"/>
  <sheetViews>
    <sheetView topLeftCell="A3" workbookViewId="0">
      <selection activeCell="D28" sqref="D28:H30"/>
    </sheetView>
  </sheetViews>
  <sheetFormatPr baseColWidth="10" defaultRowHeight="15" x14ac:dyDescent="0.25"/>
  <cols>
    <col min="3" max="3" width="14.42578125" bestFit="1" customWidth="1"/>
  </cols>
  <sheetData>
    <row r="3" spans="3:9" x14ac:dyDescent="0.25">
      <c r="C3" t="s">
        <v>109</v>
      </c>
      <c r="D3">
        <v>100</v>
      </c>
    </row>
    <row r="5" spans="3:9" x14ac:dyDescent="0.25">
      <c r="C5" t="s">
        <v>111</v>
      </c>
      <c r="D5" s="4">
        <v>7.0000000000000007E-2</v>
      </c>
    </row>
    <row r="8" spans="3:9" x14ac:dyDescent="0.25">
      <c r="C8" t="s">
        <v>113</v>
      </c>
      <c r="D8">
        <v>50</v>
      </c>
    </row>
    <row r="10" spans="3:9" x14ac:dyDescent="0.25">
      <c r="C10" t="s">
        <v>114</v>
      </c>
      <c r="D10">
        <f>D8*0.9</f>
        <v>45</v>
      </c>
    </row>
    <row r="13" spans="3:9" x14ac:dyDescent="0.25">
      <c r="C13" t="s">
        <v>110</v>
      </c>
      <c r="D13" s="5">
        <f>NPER(D5,-D10,D3)</f>
        <v>2.4989610915649543</v>
      </c>
      <c r="E13" s="22">
        <f>+F15-D13</f>
        <v>0.50103890843504573</v>
      </c>
    </row>
    <row r="15" spans="3:9" x14ac:dyDescent="0.25">
      <c r="D15">
        <v>1</v>
      </c>
      <c r="E15">
        <f>+D15+1</f>
        <v>2</v>
      </c>
      <c r="F15">
        <f t="shared" ref="F15:I15" si="0">+E15+1</f>
        <v>3</v>
      </c>
      <c r="G15">
        <f t="shared" si="0"/>
        <v>4</v>
      </c>
      <c r="H15">
        <f t="shared" si="0"/>
        <v>5</v>
      </c>
      <c r="I15">
        <f t="shared" si="0"/>
        <v>6</v>
      </c>
    </row>
    <row r="16" spans="3:9" x14ac:dyDescent="0.25">
      <c r="C16" t="s">
        <v>112</v>
      </c>
      <c r="D16">
        <f>+$D$8</f>
        <v>50</v>
      </c>
      <c r="E16">
        <f t="shared" ref="E16:I16" si="1">+$D$8</f>
        <v>50</v>
      </c>
      <c r="F16">
        <f t="shared" si="1"/>
        <v>50</v>
      </c>
      <c r="G16">
        <f t="shared" si="1"/>
        <v>50</v>
      </c>
      <c r="H16">
        <f t="shared" si="1"/>
        <v>50</v>
      </c>
      <c r="I16">
        <f t="shared" si="1"/>
        <v>50</v>
      </c>
    </row>
    <row r="17" spans="3:9" x14ac:dyDescent="0.25">
      <c r="C17" t="s">
        <v>102</v>
      </c>
      <c r="D17" s="53">
        <f t="shared" ref="D17:E17" si="2">IF(D$15&lt;=$D$13,-$D$10,IF(D$15=INT($D$13)+1,-(D$15-$D$13)*$D$10,0))</f>
        <v>-45</v>
      </c>
      <c r="E17" s="53">
        <f t="shared" si="2"/>
        <v>-45</v>
      </c>
      <c r="F17" s="53">
        <f>IF(F$15&lt;=$D$13,-$D$10,IF(F$15=INT($D$13)+1,-(F$15-$D$13)*$D$10,0))</f>
        <v>-22.546750879577058</v>
      </c>
      <c r="G17" s="53">
        <f t="shared" ref="G17:I17" si="3">IF(G$15&lt;=$D$13,-$D$10,IF(G$15=INT($D$13)+1,-(G$15-$D$13)*$D$10,0))</f>
        <v>0</v>
      </c>
      <c r="H17" s="53">
        <f t="shared" si="3"/>
        <v>0</v>
      </c>
      <c r="I17" s="53">
        <f t="shared" si="3"/>
        <v>0</v>
      </c>
    </row>
    <row r="19" spans="3:9" x14ac:dyDescent="0.25">
      <c r="C19" t="s">
        <v>108</v>
      </c>
      <c r="D19" s="53">
        <f>SUM(D16:D17)</f>
        <v>5</v>
      </c>
      <c r="E19" s="53">
        <f t="shared" ref="E19:I19" si="4">SUM(E16:E17)</f>
        <v>5</v>
      </c>
      <c r="F19" s="53">
        <f t="shared" si="4"/>
        <v>27.453249120422942</v>
      </c>
      <c r="G19" s="53">
        <f t="shared" si="4"/>
        <v>50</v>
      </c>
      <c r="H19" s="53">
        <f t="shared" si="4"/>
        <v>50</v>
      </c>
      <c r="I19" s="53">
        <f t="shared" si="4"/>
        <v>50</v>
      </c>
    </row>
    <row r="22" spans="3:9" x14ac:dyDescent="0.25">
      <c r="C22">
        <f>-D3</f>
        <v>-100</v>
      </c>
      <c r="D22" s="39">
        <f>-D17</f>
        <v>45</v>
      </c>
      <c r="E22" s="39">
        <f t="shared" ref="E22:F22" si="5">-E17</f>
        <v>45</v>
      </c>
      <c r="F22" s="39">
        <f t="shared" si="5"/>
        <v>22.546750879577058</v>
      </c>
    </row>
    <row r="24" spans="3:9" x14ac:dyDescent="0.25">
      <c r="C24" s="39">
        <f>SUM(C22:C23)</f>
        <v>-100</v>
      </c>
      <c r="D24" s="39">
        <f>SUM(D22:D23)</f>
        <v>45</v>
      </c>
      <c r="E24" s="39">
        <f t="shared" ref="E24:G24" si="6">SUM(E22:E23)</f>
        <v>45</v>
      </c>
      <c r="F24" s="39">
        <f t="shared" si="6"/>
        <v>22.546750879577058</v>
      </c>
      <c r="G24" s="39">
        <f t="shared" si="6"/>
        <v>0</v>
      </c>
    </row>
    <row r="26" spans="3:9" x14ac:dyDescent="0.25">
      <c r="C26" s="4">
        <f>IRR(C24:F24)</f>
        <v>6.8577398228421904E-2</v>
      </c>
    </row>
    <row r="28" spans="3:9" x14ac:dyDescent="0.25">
      <c r="D28" s="9"/>
      <c r="E28" s="9"/>
      <c r="F28" s="9"/>
      <c r="G28" s="9"/>
    </row>
    <row r="29" spans="3:9" x14ac:dyDescent="0.25">
      <c r="D29" s="9"/>
      <c r="E29" s="9"/>
      <c r="F29" s="9"/>
    </row>
    <row r="30" spans="3:9" x14ac:dyDescent="0.25">
      <c r="D30" s="10"/>
      <c r="E30" s="10"/>
      <c r="F30" s="10"/>
    </row>
    <row r="31" spans="3:9" x14ac:dyDescent="0.25">
      <c r="D31" s="54"/>
      <c r="E31" s="54"/>
      <c r="F31" s="5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9"/>
  <sheetViews>
    <sheetView topLeftCell="A34" workbookViewId="0">
      <selection activeCell="F46" sqref="F46"/>
    </sheetView>
  </sheetViews>
  <sheetFormatPr baseColWidth="10" defaultRowHeight="15" x14ac:dyDescent="0.25"/>
  <cols>
    <col min="2" max="2" width="20.85546875" customWidth="1"/>
    <col min="3" max="3" width="45.85546875" customWidth="1"/>
    <col min="4" max="4" width="12" bestFit="1" customWidth="1"/>
    <col min="5" max="5" width="31.85546875" bestFit="1" customWidth="1"/>
  </cols>
  <sheetData>
    <row r="2" spans="1:4" x14ac:dyDescent="0.25">
      <c r="A2" s="2" t="s">
        <v>61</v>
      </c>
    </row>
    <row r="4" spans="1:4" x14ac:dyDescent="0.25">
      <c r="B4" s="1" t="s">
        <v>5</v>
      </c>
      <c r="C4" s="1" t="s">
        <v>1</v>
      </c>
    </row>
    <row r="5" spans="1:4" x14ac:dyDescent="0.25">
      <c r="B5" t="s">
        <v>2</v>
      </c>
      <c r="C5" s="3" t="s">
        <v>0</v>
      </c>
      <c r="D5" s="35">
        <v>0.2</v>
      </c>
    </row>
    <row r="6" spans="1:4" x14ac:dyDescent="0.25">
      <c r="B6" t="s">
        <v>3</v>
      </c>
      <c r="C6" s="3" t="s">
        <v>6</v>
      </c>
      <c r="D6">
        <v>10</v>
      </c>
    </row>
    <row r="7" spans="1:4" x14ac:dyDescent="0.25">
      <c r="B7" t="s">
        <v>4</v>
      </c>
      <c r="C7" s="3" t="s">
        <v>7</v>
      </c>
      <c r="D7" s="36">
        <v>7</v>
      </c>
    </row>
    <row r="8" spans="1:4" x14ac:dyDescent="0.25">
      <c r="B8" t="s">
        <v>9</v>
      </c>
      <c r="C8" s="3" t="s">
        <v>10</v>
      </c>
      <c r="D8">
        <v>0.54</v>
      </c>
    </row>
    <row r="10" spans="1:4" x14ac:dyDescent="0.25">
      <c r="B10" t="s">
        <v>14</v>
      </c>
      <c r="D10" s="4">
        <v>0.06</v>
      </c>
    </row>
    <row r="12" spans="1:4" x14ac:dyDescent="0.25">
      <c r="B12" t="s">
        <v>8</v>
      </c>
      <c r="C12" s="3" t="s">
        <v>38</v>
      </c>
      <c r="D12" s="5">
        <f>'Datos luminarias país'!C51</f>
        <v>94.404982097375949</v>
      </c>
    </row>
    <row r="17" spans="1:20" x14ac:dyDescent="0.25">
      <c r="A17" t="s">
        <v>57</v>
      </c>
      <c r="B17" s="1" t="s">
        <v>44</v>
      </c>
      <c r="E17" s="7" t="s">
        <v>16</v>
      </c>
      <c r="F17" s="7">
        <v>1</v>
      </c>
      <c r="G17" s="7">
        <f>+F17+1</f>
        <v>2</v>
      </c>
      <c r="H17" s="7">
        <f t="shared" ref="H17:S17" si="0">+G17+1</f>
        <v>3</v>
      </c>
      <c r="I17" s="7">
        <f t="shared" si="0"/>
        <v>4</v>
      </c>
      <c r="J17" s="7">
        <f t="shared" si="0"/>
        <v>5</v>
      </c>
      <c r="K17" s="7">
        <f t="shared" si="0"/>
        <v>6</v>
      </c>
      <c r="L17" s="7">
        <f t="shared" si="0"/>
        <v>7</v>
      </c>
      <c r="M17" s="7">
        <f t="shared" si="0"/>
        <v>8</v>
      </c>
      <c r="N17" s="7">
        <f t="shared" si="0"/>
        <v>9</v>
      </c>
      <c r="O17" s="7">
        <f t="shared" si="0"/>
        <v>10</v>
      </c>
      <c r="P17" s="7">
        <f t="shared" si="0"/>
        <v>11</v>
      </c>
      <c r="Q17" s="7">
        <f t="shared" si="0"/>
        <v>12</v>
      </c>
      <c r="R17" s="7">
        <f t="shared" si="0"/>
        <v>13</v>
      </c>
      <c r="S17" s="7">
        <f t="shared" si="0"/>
        <v>14</v>
      </c>
      <c r="T17" s="7">
        <f t="shared" ref="T17" si="1">+S17+1</f>
        <v>15</v>
      </c>
    </row>
    <row r="19" spans="1:20" x14ac:dyDescent="0.25">
      <c r="E19" t="s">
        <v>11</v>
      </c>
      <c r="F19" s="5">
        <f t="shared" ref="F19:S19" si="2">$D$5*$D$12*IF(F$17&lt;=$D$6,1,0)*IF(F$17=1,$D$8,1)</f>
        <v>10.195738066516604</v>
      </c>
      <c r="G19" s="5">
        <f t="shared" si="2"/>
        <v>18.880996419475192</v>
      </c>
      <c r="H19" s="5">
        <f t="shared" si="2"/>
        <v>18.880996419475192</v>
      </c>
      <c r="I19" s="5">
        <f t="shared" si="2"/>
        <v>18.880996419475192</v>
      </c>
      <c r="J19" s="5">
        <f t="shared" si="2"/>
        <v>18.880996419475192</v>
      </c>
      <c r="K19" s="5">
        <f t="shared" si="2"/>
        <v>18.880996419475192</v>
      </c>
      <c r="L19" s="5">
        <f t="shared" si="2"/>
        <v>18.880996419475192</v>
      </c>
      <c r="M19" s="5">
        <f t="shared" si="2"/>
        <v>18.880996419475192</v>
      </c>
      <c r="N19" s="5">
        <f t="shared" si="2"/>
        <v>18.880996419475192</v>
      </c>
      <c r="O19" s="5">
        <f t="shared" si="2"/>
        <v>18.880996419475192</v>
      </c>
      <c r="P19" s="5">
        <f t="shared" si="2"/>
        <v>0</v>
      </c>
      <c r="Q19" s="5">
        <f t="shared" si="2"/>
        <v>0</v>
      </c>
      <c r="R19" s="5">
        <f t="shared" si="2"/>
        <v>0</v>
      </c>
      <c r="S19" s="5">
        <f t="shared" si="2"/>
        <v>0</v>
      </c>
      <c r="T19" s="5">
        <f t="shared" ref="T19" si="3">$D$5*$D$12*IF(T$17&lt;=$D$6,1,0)*IF(T$17=1,$D$8,1)</f>
        <v>0</v>
      </c>
    </row>
    <row r="20" spans="1:20" x14ac:dyDescent="0.25">
      <c r="F20" s="5"/>
      <c r="G20" s="5"/>
      <c r="H20" s="5"/>
      <c r="I20" s="5"/>
      <c r="J20" s="5"/>
      <c r="K20" s="5"/>
      <c r="L20" s="5"/>
      <c r="M20" s="5"/>
      <c r="N20" s="5"/>
      <c r="O20" s="5"/>
      <c r="P20" s="5"/>
      <c r="Q20" s="5"/>
      <c r="R20" s="5"/>
      <c r="S20" s="5"/>
      <c r="T20" s="5"/>
    </row>
    <row r="21" spans="1:20" hidden="1" x14ac:dyDescent="0.25">
      <c r="F21" s="5"/>
      <c r="G21" s="5"/>
      <c r="H21" s="5"/>
      <c r="I21" s="5"/>
      <c r="J21" s="5"/>
      <c r="K21" s="5"/>
      <c r="L21" s="5"/>
      <c r="M21" s="5"/>
      <c r="N21" s="5"/>
      <c r="O21" s="5"/>
      <c r="P21" s="5"/>
      <c r="Q21" s="5"/>
      <c r="R21" s="5"/>
      <c r="S21" s="5"/>
      <c r="T21" s="5"/>
    </row>
    <row r="22" spans="1:20" hidden="1" x14ac:dyDescent="0.25">
      <c r="F22" s="5"/>
      <c r="G22" s="5"/>
      <c r="H22" s="5"/>
      <c r="I22" s="5"/>
      <c r="J22" s="5"/>
      <c r="K22" s="5"/>
      <c r="L22" s="5"/>
      <c r="M22" s="5"/>
      <c r="N22" s="5"/>
      <c r="O22" s="5"/>
      <c r="P22" s="5"/>
      <c r="Q22" s="5"/>
      <c r="R22" s="5"/>
      <c r="S22" s="5"/>
      <c r="T22" s="5"/>
    </row>
    <row r="23" spans="1:20" x14ac:dyDescent="0.25">
      <c r="E23" t="s">
        <v>13</v>
      </c>
      <c r="F23" s="5">
        <f>-IF(F$17&lt;=$D$7,0.9*F19,0)</f>
        <v>-9.1761642598649438</v>
      </c>
      <c r="G23" s="5">
        <f t="shared" ref="G23:S23" si="4">-IF(G$17&lt;=$D$7,0.9*G19,0)</f>
        <v>-16.992896777527672</v>
      </c>
      <c r="H23" s="5">
        <f t="shared" si="4"/>
        <v>-16.992896777527672</v>
      </c>
      <c r="I23" s="5">
        <f t="shared" si="4"/>
        <v>-16.992896777527672</v>
      </c>
      <c r="J23" s="5">
        <f t="shared" si="4"/>
        <v>-16.992896777527672</v>
      </c>
      <c r="K23" s="5">
        <f t="shared" si="4"/>
        <v>-16.992896777527672</v>
      </c>
      <c r="L23" s="5">
        <f t="shared" si="4"/>
        <v>-16.992896777527672</v>
      </c>
      <c r="M23" s="5">
        <f t="shared" si="4"/>
        <v>0</v>
      </c>
      <c r="N23" s="5">
        <f t="shared" si="4"/>
        <v>0</v>
      </c>
      <c r="O23" s="5">
        <f t="shared" si="4"/>
        <v>0</v>
      </c>
      <c r="P23" s="5">
        <f t="shared" si="4"/>
        <v>0</v>
      </c>
      <c r="Q23" s="5">
        <f t="shared" si="4"/>
        <v>0</v>
      </c>
      <c r="R23" s="5">
        <f t="shared" si="4"/>
        <v>0</v>
      </c>
      <c r="S23" s="5">
        <f t="shared" si="4"/>
        <v>0</v>
      </c>
      <c r="T23" s="5">
        <f t="shared" ref="T23" si="5">-IF(T$17&lt;=$D$7,0.9*T19,0)</f>
        <v>0</v>
      </c>
    </row>
    <row r="24" spans="1:20" x14ac:dyDescent="0.25">
      <c r="F24" s="5"/>
      <c r="G24" s="5"/>
      <c r="H24" s="5"/>
      <c r="I24" s="5"/>
      <c r="J24" s="5"/>
      <c r="K24" s="5"/>
      <c r="L24" s="5"/>
      <c r="M24" s="5"/>
      <c r="N24" s="5"/>
      <c r="O24" s="5"/>
      <c r="P24" s="5"/>
      <c r="Q24" s="5"/>
      <c r="R24" s="5"/>
      <c r="S24" s="5"/>
      <c r="T24" s="5"/>
    </row>
    <row r="25" spans="1:20" x14ac:dyDescent="0.25">
      <c r="E25" s="1" t="s">
        <v>15</v>
      </c>
      <c r="F25" s="6">
        <f>SUM(F19:F23)</f>
        <v>1.0195738066516604</v>
      </c>
      <c r="G25" s="6">
        <f t="shared" ref="G25:S25" si="6">SUM(G19:G23)</f>
        <v>1.8880996419475196</v>
      </c>
      <c r="H25" s="6">
        <f t="shared" si="6"/>
        <v>1.8880996419475196</v>
      </c>
      <c r="I25" s="6">
        <f t="shared" si="6"/>
        <v>1.8880996419475196</v>
      </c>
      <c r="J25" s="6">
        <f t="shared" si="6"/>
        <v>1.8880996419475196</v>
      </c>
      <c r="K25" s="6">
        <f t="shared" si="6"/>
        <v>1.8880996419475196</v>
      </c>
      <c r="L25" s="6">
        <f t="shared" si="6"/>
        <v>1.8880996419475196</v>
      </c>
      <c r="M25" s="6">
        <f t="shared" si="6"/>
        <v>18.880996419475192</v>
      </c>
      <c r="N25" s="6">
        <f t="shared" si="6"/>
        <v>18.880996419475192</v>
      </c>
      <c r="O25" s="6">
        <f t="shared" si="6"/>
        <v>18.880996419475192</v>
      </c>
      <c r="P25" s="6">
        <f t="shared" si="6"/>
        <v>0</v>
      </c>
      <c r="Q25" s="6">
        <f t="shared" si="6"/>
        <v>0</v>
      </c>
      <c r="R25" s="6">
        <f t="shared" si="6"/>
        <v>0</v>
      </c>
      <c r="S25" s="6">
        <f t="shared" si="6"/>
        <v>0</v>
      </c>
      <c r="T25" s="6">
        <f t="shared" ref="T25" si="7">SUM(T19:T23)</f>
        <v>0</v>
      </c>
    </row>
    <row r="27" spans="1:20" x14ac:dyDescent="0.25">
      <c r="E27" s="1" t="str">
        <f>"VAN "&amp;$A$2&amp;" - sin subsidio"</f>
        <v>VAN Oferta 1 - sin subsidio</v>
      </c>
      <c r="F27" s="24">
        <f>NPV($D$10,F25:T25)</f>
        <v>43.285581692844175</v>
      </c>
    </row>
    <row r="29" spans="1:20" x14ac:dyDescent="0.25">
      <c r="A29" t="s">
        <v>58</v>
      </c>
      <c r="B29" s="1" t="s">
        <v>39</v>
      </c>
    </row>
    <row r="31" spans="1:20" x14ac:dyDescent="0.25">
      <c r="B31" t="s">
        <v>17</v>
      </c>
      <c r="C31" s="3" t="s">
        <v>18</v>
      </c>
      <c r="D31" s="9">
        <f>+'Datos luminarias país'!C32</f>
        <v>86560</v>
      </c>
    </row>
    <row r="33" spans="2:4" x14ac:dyDescent="0.25">
      <c r="B33" t="s">
        <v>54</v>
      </c>
      <c r="C33" s="3"/>
      <c r="D33" s="8">
        <f>70000/D31</f>
        <v>0.80868761552680224</v>
      </c>
    </row>
    <row r="35" spans="2:4" x14ac:dyDescent="0.25">
      <c r="B35" t="s">
        <v>19</v>
      </c>
      <c r="C35" s="3" t="s">
        <v>20</v>
      </c>
      <c r="D35" s="9">
        <f>+'Datos luminarias país'!C72</f>
        <v>5626.9854031434315</v>
      </c>
    </row>
    <row r="37" spans="2:4" x14ac:dyDescent="0.25">
      <c r="B37" t="s">
        <v>55</v>
      </c>
      <c r="D37" s="8">
        <f>D33*D31*D5/(D33*D31*D5+D35)</f>
        <v>0.71330363336173774</v>
      </c>
    </row>
    <row r="39" spans="2:4" x14ac:dyDescent="0.25">
      <c r="B39" t="s">
        <v>42</v>
      </c>
      <c r="C39" s="3" t="s">
        <v>41</v>
      </c>
      <c r="D39" s="18">
        <v>150</v>
      </c>
    </row>
    <row r="41" spans="2:4" x14ac:dyDescent="0.25">
      <c r="C41" t="s">
        <v>40</v>
      </c>
      <c r="D41" s="19">
        <v>2.9634</v>
      </c>
    </row>
    <row r="43" spans="2:4" x14ac:dyDescent="0.25">
      <c r="B43" t="s">
        <v>43</v>
      </c>
      <c r="C43" s="3" t="s">
        <v>41</v>
      </c>
      <c r="D43" s="18">
        <f>D39/D41</f>
        <v>50.617533913747721</v>
      </c>
    </row>
    <row r="45" spans="2:4" x14ac:dyDescent="0.25">
      <c r="B45" t="s">
        <v>56</v>
      </c>
      <c r="C45" t="s">
        <v>37</v>
      </c>
      <c r="D45" s="15">
        <f>D43*D37</f>
        <v>36.105670852487229</v>
      </c>
    </row>
    <row r="49" spans="1:20" x14ac:dyDescent="0.25">
      <c r="A49" t="s">
        <v>59</v>
      </c>
      <c r="B49" s="1" t="s">
        <v>60</v>
      </c>
      <c r="E49" s="7" t="s">
        <v>16</v>
      </c>
      <c r="F49" s="7">
        <v>1</v>
      </c>
      <c r="G49" s="7">
        <f>+F49+1</f>
        <v>2</v>
      </c>
      <c r="H49" s="7">
        <f t="shared" ref="H49:T49" si="8">+G49+1</f>
        <v>3</v>
      </c>
      <c r="I49" s="7">
        <f t="shared" si="8"/>
        <v>4</v>
      </c>
      <c r="J49" s="7">
        <f t="shared" si="8"/>
        <v>5</v>
      </c>
      <c r="K49" s="7">
        <f t="shared" si="8"/>
        <v>6</v>
      </c>
      <c r="L49" s="7">
        <f t="shared" si="8"/>
        <v>7</v>
      </c>
      <c r="M49" s="7">
        <f t="shared" si="8"/>
        <v>8</v>
      </c>
      <c r="N49" s="7">
        <f t="shared" si="8"/>
        <v>9</v>
      </c>
      <c r="O49" s="7">
        <f t="shared" si="8"/>
        <v>10</v>
      </c>
      <c r="P49" s="7">
        <f t="shared" si="8"/>
        <v>11</v>
      </c>
      <c r="Q49" s="7">
        <f t="shared" si="8"/>
        <v>12</v>
      </c>
      <c r="R49" s="7">
        <f t="shared" si="8"/>
        <v>13</v>
      </c>
      <c r="S49" s="7">
        <f t="shared" si="8"/>
        <v>14</v>
      </c>
      <c r="T49" s="7">
        <f t="shared" si="8"/>
        <v>15</v>
      </c>
    </row>
    <row r="51" spans="1:20" x14ac:dyDescent="0.25">
      <c r="E51" t="s">
        <v>11</v>
      </c>
      <c r="F51" s="5">
        <f>+F19</f>
        <v>10.195738066516604</v>
      </c>
      <c r="G51" s="5">
        <f t="shared" ref="G51:T51" si="9">+G19</f>
        <v>18.880996419475192</v>
      </c>
      <c r="H51" s="5">
        <f t="shared" si="9"/>
        <v>18.880996419475192</v>
      </c>
      <c r="I51" s="5">
        <f t="shared" si="9"/>
        <v>18.880996419475192</v>
      </c>
      <c r="J51" s="5">
        <f t="shared" si="9"/>
        <v>18.880996419475192</v>
      </c>
      <c r="K51" s="5">
        <f t="shared" si="9"/>
        <v>18.880996419475192</v>
      </c>
      <c r="L51" s="5">
        <f t="shared" si="9"/>
        <v>18.880996419475192</v>
      </c>
      <c r="M51" s="5">
        <f t="shared" si="9"/>
        <v>18.880996419475192</v>
      </c>
      <c r="N51" s="5">
        <f t="shared" si="9"/>
        <v>18.880996419475192</v>
      </c>
      <c r="O51" s="5">
        <f t="shared" si="9"/>
        <v>18.880996419475192</v>
      </c>
      <c r="P51" s="5">
        <f t="shared" si="9"/>
        <v>0</v>
      </c>
      <c r="Q51" s="5">
        <f t="shared" si="9"/>
        <v>0</v>
      </c>
      <c r="R51" s="5">
        <f t="shared" si="9"/>
        <v>0</v>
      </c>
      <c r="S51" s="5">
        <f t="shared" si="9"/>
        <v>0</v>
      </c>
      <c r="T51" s="5">
        <f t="shared" si="9"/>
        <v>0</v>
      </c>
    </row>
    <row r="52" spans="1:20" x14ac:dyDescent="0.25">
      <c r="F52" s="5"/>
      <c r="G52" s="5"/>
      <c r="H52" s="5"/>
      <c r="I52" s="5"/>
      <c r="J52" s="5"/>
      <c r="K52" s="5"/>
      <c r="L52" s="5"/>
      <c r="M52" s="5"/>
      <c r="N52" s="5"/>
      <c r="O52" s="5"/>
      <c r="P52" s="5"/>
      <c r="Q52" s="5"/>
      <c r="R52" s="5"/>
      <c r="S52" s="5"/>
      <c r="T52" s="5"/>
    </row>
    <row r="53" spans="1:20" x14ac:dyDescent="0.25">
      <c r="E53" t="s">
        <v>12</v>
      </c>
      <c r="F53" s="9">
        <f>+D45*D8</f>
        <v>19.497062260343107</v>
      </c>
      <c r="G53" s="9">
        <f>+D45</f>
        <v>36.105670852487229</v>
      </c>
      <c r="H53" s="9">
        <f>+G53</f>
        <v>36.105670852487229</v>
      </c>
      <c r="I53" s="5"/>
      <c r="J53" s="5"/>
      <c r="K53" s="5"/>
      <c r="L53" s="5"/>
      <c r="M53" s="5"/>
      <c r="N53" s="5"/>
      <c r="O53" s="5"/>
      <c r="P53" s="5"/>
      <c r="Q53" s="5"/>
      <c r="R53" s="5"/>
      <c r="S53" s="5"/>
      <c r="T53" s="5"/>
    </row>
    <row r="54" spans="1:20" x14ac:dyDescent="0.25">
      <c r="F54" s="5"/>
      <c r="G54" s="5"/>
      <c r="H54" s="5"/>
      <c r="I54" s="5"/>
      <c r="J54" s="5"/>
      <c r="K54" s="5"/>
      <c r="L54" s="5"/>
      <c r="M54" s="5"/>
      <c r="N54" s="5"/>
      <c r="O54" s="5"/>
      <c r="P54" s="5"/>
      <c r="Q54" s="5"/>
      <c r="R54" s="5"/>
      <c r="S54" s="5"/>
      <c r="T54" s="5"/>
    </row>
    <row r="55" spans="1:20" x14ac:dyDescent="0.25">
      <c r="E55" t="s">
        <v>13</v>
      </c>
      <c r="F55" s="5">
        <f>+F23</f>
        <v>-9.1761642598649438</v>
      </c>
      <c r="G55" s="5">
        <f t="shared" ref="G55:T55" si="10">+G23</f>
        <v>-16.992896777527672</v>
      </c>
      <c r="H55" s="5">
        <f t="shared" si="10"/>
        <v>-16.992896777527672</v>
      </c>
      <c r="I55" s="5">
        <f t="shared" si="10"/>
        <v>-16.992896777527672</v>
      </c>
      <c r="J55" s="5">
        <f t="shared" si="10"/>
        <v>-16.992896777527672</v>
      </c>
      <c r="K55" s="5">
        <f t="shared" si="10"/>
        <v>-16.992896777527672</v>
      </c>
      <c r="L55" s="5">
        <f t="shared" si="10"/>
        <v>-16.992896777527672</v>
      </c>
      <c r="M55" s="5">
        <f t="shared" si="10"/>
        <v>0</v>
      </c>
      <c r="N55" s="5">
        <f t="shared" si="10"/>
        <v>0</v>
      </c>
      <c r="O55" s="5">
        <f t="shared" si="10"/>
        <v>0</v>
      </c>
      <c r="P55" s="5">
        <f t="shared" si="10"/>
        <v>0</v>
      </c>
      <c r="Q55" s="5">
        <f t="shared" si="10"/>
        <v>0</v>
      </c>
      <c r="R55" s="5">
        <f t="shared" si="10"/>
        <v>0</v>
      </c>
      <c r="S55" s="5">
        <f t="shared" si="10"/>
        <v>0</v>
      </c>
      <c r="T55" s="5">
        <f t="shared" si="10"/>
        <v>0</v>
      </c>
    </row>
    <row r="56" spans="1:20" x14ac:dyDescent="0.25">
      <c r="F56" s="5"/>
      <c r="G56" s="5"/>
      <c r="H56" s="5"/>
      <c r="I56" s="5"/>
      <c r="J56" s="5"/>
      <c r="K56" s="5"/>
      <c r="L56" s="5"/>
      <c r="M56" s="5"/>
      <c r="N56" s="5"/>
      <c r="O56" s="5"/>
      <c r="P56" s="5"/>
      <c r="Q56" s="5"/>
      <c r="R56" s="5"/>
      <c r="S56" s="5"/>
      <c r="T56" s="5"/>
    </row>
    <row r="57" spans="1:20" x14ac:dyDescent="0.25">
      <c r="E57" s="1" t="s">
        <v>15</v>
      </c>
      <c r="F57" s="6">
        <f>SUM(F51:F55)</f>
        <v>20.516636066994767</v>
      </c>
      <c r="G57" s="6">
        <f t="shared" ref="G57:T57" si="11">SUM(G51:G55)</f>
        <v>37.993770494434742</v>
      </c>
      <c r="H57" s="6">
        <f t="shared" si="11"/>
        <v>37.993770494434742</v>
      </c>
      <c r="I57" s="6">
        <f t="shared" si="11"/>
        <v>1.8880996419475196</v>
      </c>
      <c r="J57" s="6">
        <f t="shared" si="11"/>
        <v>1.8880996419475196</v>
      </c>
      <c r="K57" s="6">
        <f t="shared" si="11"/>
        <v>1.8880996419475196</v>
      </c>
      <c r="L57" s="6">
        <f t="shared" si="11"/>
        <v>1.8880996419475196</v>
      </c>
      <c r="M57" s="6">
        <f t="shared" si="11"/>
        <v>18.880996419475192</v>
      </c>
      <c r="N57" s="6">
        <f t="shared" si="11"/>
        <v>18.880996419475192</v>
      </c>
      <c r="O57" s="6">
        <f t="shared" si="11"/>
        <v>18.880996419475192</v>
      </c>
      <c r="P57" s="6">
        <f t="shared" si="11"/>
        <v>0</v>
      </c>
      <c r="Q57" s="6">
        <f t="shared" si="11"/>
        <v>0</v>
      </c>
      <c r="R57" s="6">
        <f t="shared" si="11"/>
        <v>0</v>
      </c>
      <c r="S57" s="6">
        <f t="shared" si="11"/>
        <v>0</v>
      </c>
      <c r="T57" s="6">
        <f t="shared" si="11"/>
        <v>0</v>
      </c>
    </row>
    <row r="59" spans="1:20" x14ac:dyDescent="0.25">
      <c r="E59" s="1" t="str">
        <f>"VAN "&amp;$A$2&amp;" - con subsidio"</f>
        <v>VAN Oferta 1 - con subsidio</v>
      </c>
      <c r="F59" s="24">
        <f>NPV($D$10,F57:T57)</f>
        <v>124.12797265303713</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70"/>
  <sheetViews>
    <sheetView topLeftCell="A37" workbookViewId="0">
      <selection activeCell="F61" sqref="F61"/>
    </sheetView>
  </sheetViews>
  <sheetFormatPr baseColWidth="10" defaultRowHeight="15" x14ac:dyDescent="0.25"/>
  <cols>
    <col min="2" max="2" width="20.85546875" customWidth="1"/>
    <col min="3" max="3" width="45.85546875" customWidth="1"/>
    <col min="4" max="4" width="12" bestFit="1" customWidth="1"/>
    <col min="5" max="5" width="31.85546875" bestFit="1" customWidth="1"/>
  </cols>
  <sheetData>
    <row r="2" spans="1:4" x14ac:dyDescent="0.25">
      <c r="A2" s="2" t="s">
        <v>62</v>
      </c>
    </row>
    <row r="4" spans="1:4" x14ac:dyDescent="0.25">
      <c r="B4" s="1" t="s">
        <v>5</v>
      </c>
      <c r="C4" s="1" t="s">
        <v>1</v>
      </c>
    </row>
    <row r="5" spans="1:4" x14ac:dyDescent="0.25">
      <c r="B5" t="s">
        <v>2</v>
      </c>
      <c r="C5" s="3" t="s">
        <v>0</v>
      </c>
      <c r="D5" s="35">
        <v>0.25</v>
      </c>
    </row>
    <row r="6" spans="1:4" x14ac:dyDescent="0.25">
      <c r="B6" t="s">
        <v>3</v>
      </c>
      <c r="C6" s="3" t="s">
        <v>6</v>
      </c>
      <c r="D6">
        <v>10</v>
      </c>
    </row>
    <row r="7" spans="1:4" x14ac:dyDescent="0.25">
      <c r="B7" t="s">
        <v>4</v>
      </c>
      <c r="C7" s="3" t="s">
        <v>7</v>
      </c>
      <c r="D7" s="36">
        <v>8</v>
      </c>
    </row>
    <row r="8" spans="1:4" x14ac:dyDescent="0.25">
      <c r="B8" t="s">
        <v>9</v>
      </c>
      <c r="C8" s="3" t="s">
        <v>10</v>
      </c>
      <c r="D8">
        <v>0.54</v>
      </c>
    </row>
    <row r="10" spans="1:4" x14ac:dyDescent="0.25">
      <c r="B10" t="s">
        <v>14</v>
      </c>
      <c r="D10" s="4">
        <v>0.06</v>
      </c>
    </row>
    <row r="12" spans="1:4" x14ac:dyDescent="0.25">
      <c r="B12" t="s">
        <v>8</v>
      </c>
      <c r="C12" s="3" t="s">
        <v>38</v>
      </c>
      <c r="D12" s="5">
        <f>'Datos luminarias país'!C51</f>
        <v>94.404982097375949</v>
      </c>
    </row>
    <row r="17" spans="1:20" x14ac:dyDescent="0.25">
      <c r="A17" t="s">
        <v>57</v>
      </c>
      <c r="B17" s="1" t="s">
        <v>44</v>
      </c>
      <c r="E17" s="7" t="s">
        <v>16</v>
      </c>
      <c r="F17" s="7">
        <v>1</v>
      </c>
      <c r="G17" s="7">
        <f>+F17+1</f>
        <v>2</v>
      </c>
      <c r="H17" s="7">
        <f t="shared" ref="H17:T17" si="0">+G17+1</f>
        <v>3</v>
      </c>
      <c r="I17" s="7">
        <f t="shared" si="0"/>
        <v>4</v>
      </c>
      <c r="J17" s="7">
        <f t="shared" si="0"/>
        <v>5</v>
      </c>
      <c r="K17" s="7">
        <f t="shared" si="0"/>
        <v>6</v>
      </c>
      <c r="L17" s="7">
        <f t="shared" si="0"/>
        <v>7</v>
      </c>
      <c r="M17" s="7">
        <f t="shared" si="0"/>
        <v>8</v>
      </c>
      <c r="N17" s="7">
        <f t="shared" si="0"/>
        <v>9</v>
      </c>
      <c r="O17" s="7">
        <f t="shared" si="0"/>
        <v>10</v>
      </c>
      <c r="P17" s="7">
        <f t="shared" si="0"/>
        <v>11</v>
      </c>
      <c r="Q17" s="7">
        <f t="shared" si="0"/>
        <v>12</v>
      </c>
      <c r="R17" s="7">
        <f t="shared" si="0"/>
        <v>13</v>
      </c>
      <c r="S17" s="7">
        <f t="shared" si="0"/>
        <v>14</v>
      </c>
      <c r="T17" s="7">
        <f t="shared" si="0"/>
        <v>15</v>
      </c>
    </row>
    <row r="19" spans="1:20" x14ac:dyDescent="0.25">
      <c r="E19" t="s">
        <v>11</v>
      </c>
      <c r="F19" s="5">
        <f t="shared" ref="F19:S19" si="1">$D$5*$D$12*IF(F$17&lt;=$D$6,1,0)*IF(F$17=1,$D$8,1)</f>
        <v>12.744672583145753</v>
      </c>
      <c r="G19" s="5">
        <f t="shared" si="1"/>
        <v>23.601245524343987</v>
      </c>
      <c r="H19" s="5">
        <f t="shared" si="1"/>
        <v>23.601245524343987</v>
      </c>
      <c r="I19" s="5">
        <f t="shared" si="1"/>
        <v>23.601245524343987</v>
      </c>
      <c r="J19" s="5">
        <f t="shared" si="1"/>
        <v>23.601245524343987</v>
      </c>
      <c r="K19" s="5">
        <f t="shared" si="1"/>
        <v>23.601245524343987</v>
      </c>
      <c r="L19" s="5">
        <f t="shared" si="1"/>
        <v>23.601245524343987</v>
      </c>
      <c r="M19" s="5">
        <f t="shared" si="1"/>
        <v>23.601245524343987</v>
      </c>
      <c r="N19" s="5">
        <f t="shared" si="1"/>
        <v>23.601245524343987</v>
      </c>
      <c r="O19" s="5">
        <f t="shared" si="1"/>
        <v>23.601245524343987</v>
      </c>
      <c r="P19" s="5">
        <f t="shared" si="1"/>
        <v>0</v>
      </c>
      <c r="Q19" s="5">
        <f t="shared" si="1"/>
        <v>0</v>
      </c>
      <c r="R19" s="5">
        <f t="shared" si="1"/>
        <v>0</v>
      </c>
      <c r="S19" s="5">
        <f t="shared" si="1"/>
        <v>0</v>
      </c>
      <c r="T19" s="5">
        <f t="shared" ref="T19" si="2">$D$5*$D$12*IF(T$17&lt;=$D$6,1,0)*IF(T$17=1,$D$8,1)</f>
        <v>0</v>
      </c>
    </row>
    <row r="20" spans="1:20" x14ac:dyDescent="0.25">
      <c r="F20" s="5"/>
      <c r="G20" s="5"/>
      <c r="H20" s="5"/>
      <c r="I20" s="5"/>
      <c r="J20" s="5"/>
      <c r="K20" s="5"/>
      <c r="L20" s="5"/>
      <c r="M20" s="5"/>
      <c r="N20" s="5"/>
      <c r="O20" s="5"/>
      <c r="P20" s="5"/>
      <c r="Q20" s="5"/>
      <c r="R20" s="5"/>
      <c r="S20" s="5"/>
      <c r="T20" s="5"/>
    </row>
    <row r="21" spans="1:20" hidden="1" x14ac:dyDescent="0.25">
      <c r="F21" s="5"/>
      <c r="G21" s="5"/>
      <c r="H21" s="5"/>
      <c r="I21" s="5"/>
      <c r="J21" s="5"/>
      <c r="K21" s="5"/>
      <c r="L21" s="5"/>
      <c r="M21" s="5"/>
      <c r="N21" s="5"/>
      <c r="O21" s="5"/>
      <c r="P21" s="5"/>
      <c r="Q21" s="5"/>
      <c r="R21" s="5"/>
      <c r="S21" s="5"/>
      <c r="T21" s="5"/>
    </row>
    <row r="22" spans="1:20" hidden="1" x14ac:dyDescent="0.25">
      <c r="F22" s="5"/>
      <c r="G22" s="5"/>
      <c r="H22" s="5"/>
      <c r="I22" s="5"/>
      <c r="J22" s="5"/>
      <c r="K22" s="5"/>
      <c r="L22" s="5"/>
      <c r="M22" s="5"/>
      <c r="N22" s="5"/>
      <c r="O22" s="5"/>
      <c r="P22" s="5"/>
      <c r="Q22" s="5"/>
      <c r="R22" s="5"/>
      <c r="S22" s="5"/>
      <c r="T22" s="5"/>
    </row>
    <row r="23" spans="1:20" x14ac:dyDescent="0.25">
      <c r="E23" t="s">
        <v>13</v>
      </c>
      <c r="F23" s="5">
        <f>-IF(F$17&lt;=$D$7,0.9*F19,0)</f>
        <v>-11.470205324831179</v>
      </c>
      <c r="G23" s="5">
        <f t="shared" ref="G23:T23" si="3">-IF(G$17&lt;=$D$7,0.9*G19,0)</f>
        <v>-21.241120971909588</v>
      </c>
      <c r="H23" s="5">
        <f t="shared" si="3"/>
        <v>-21.241120971909588</v>
      </c>
      <c r="I23" s="5">
        <f t="shared" si="3"/>
        <v>-21.241120971909588</v>
      </c>
      <c r="J23" s="5">
        <f t="shared" si="3"/>
        <v>-21.241120971909588</v>
      </c>
      <c r="K23" s="5">
        <f t="shared" si="3"/>
        <v>-21.241120971909588</v>
      </c>
      <c r="L23" s="5">
        <f t="shared" si="3"/>
        <v>-21.241120971909588</v>
      </c>
      <c r="M23" s="5">
        <f t="shared" si="3"/>
        <v>-21.241120971909588</v>
      </c>
      <c r="N23" s="5">
        <f t="shared" si="3"/>
        <v>0</v>
      </c>
      <c r="O23" s="5">
        <f t="shared" si="3"/>
        <v>0</v>
      </c>
      <c r="P23" s="5">
        <f t="shared" si="3"/>
        <v>0</v>
      </c>
      <c r="Q23" s="5">
        <f t="shared" si="3"/>
        <v>0</v>
      </c>
      <c r="R23" s="5">
        <f t="shared" si="3"/>
        <v>0</v>
      </c>
      <c r="S23" s="5">
        <f t="shared" si="3"/>
        <v>0</v>
      </c>
      <c r="T23" s="5">
        <f t="shared" si="3"/>
        <v>0</v>
      </c>
    </row>
    <row r="24" spans="1:20" x14ac:dyDescent="0.25">
      <c r="F24" s="5"/>
      <c r="G24" s="5"/>
      <c r="H24" s="5"/>
      <c r="I24" s="5"/>
      <c r="J24" s="5"/>
      <c r="K24" s="5"/>
      <c r="L24" s="5"/>
      <c r="M24" s="5"/>
      <c r="N24" s="5"/>
      <c r="O24" s="5"/>
      <c r="P24" s="5"/>
      <c r="Q24" s="5"/>
      <c r="R24" s="5"/>
      <c r="S24" s="5"/>
      <c r="T24" s="5"/>
    </row>
    <row r="25" spans="1:20" x14ac:dyDescent="0.25">
      <c r="E25" s="1" t="s">
        <v>15</v>
      </c>
      <c r="F25" s="6">
        <f>SUM(F19:F23)</f>
        <v>1.2744672583145746</v>
      </c>
      <c r="G25" s="6">
        <f t="shared" ref="G25:T25" si="4">SUM(G19:G23)</f>
        <v>2.3601245524343994</v>
      </c>
      <c r="H25" s="6">
        <f t="shared" si="4"/>
        <v>2.3601245524343994</v>
      </c>
      <c r="I25" s="6">
        <f t="shared" si="4"/>
        <v>2.3601245524343994</v>
      </c>
      <c r="J25" s="6">
        <f t="shared" si="4"/>
        <v>2.3601245524343994</v>
      </c>
      <c r="K25" s="6">
        <f t="shared" si="4"/>
        <v>2.3601245524343994</v>
      </c>
      <c r="L25" s="6">
        <f t="shared" si="4"/>
        <v>2.3601245524343994</v>
      </c>
      <c r="M25" s="6">
        <f t="shared" si="4"/>
        <v>2.3601245524343994</v>
      </c>
      <c r="N25" s="6">
        <f t="shared" si="4"/>
        <v>23.601245524343987</v>
      </c>
      <c r="O25" s="6">
        <f t="shared" si="4"/>
        <v>23.601245524343987</v>
      </c>
      <c r="P25" s="6">
        <f t="shared" si="4"/>
        <v>0</v>
      </c>
      <c r="Q25" s="6">
        <f t="shared" si="4"/>
        <v>0</v>
      </c>
      <c r="R25" s="6">
        <f t="shared" si="4"/>
        <v>0</v>
      </c>
      <c r="S25" s="6">
        <f t="shared" si="4"/>
        <v>0</v>
      </c>
      <c r="T25" s="6">
        <f t="shared" si="4"/>
        <v>0</v>
      </c>
    </row>
    <row r="27" spans="1:20" x14ac:dyDescent="0.25">
      <c r="E27" s="1" t="str">
        <f>"VAN "&amp;$A$2&amp;" - sin subsidio"</f>
        <v>VAN Oferta 2 - sin subsidio</v>
      </c>
      <c r="F27" s="24">
        <f>NPV($D$10,F25:T25)</f>
        <v>40.780035037110821</v>
      </c>
    </row>
    <row r="28" spans="1:20" x14ac:dyDescent="0.25">
      <c r="F28" s="22"/>
    </row>
    <row r="29" spans="1:20" x14ac:dyDescent="0.25">
      <c r="A29" t="s">
        <v>58</v>
      </c>
      <c r="B29" s="1" t="s">
        <v>39</v>
      </c>
    </row>
    <row r="31" spans="1:20" x14ac:dyDescent="0.25">
      <c r="B31" t="s">
        <v>17</v>
      </c>
      <c r="C31" s="3" t="s">
        <v>18</v>
      </c>
      <c r="D31" s="9">
        <f>+'Datos luminarias país'!C32</f>
        <v>86560</v>
      </c>
    </row>
    <row r="33" spans="2:5" x14ac:dyDescent="0.25">
      <c r="B33" t="s">
        <v>54</v>
      </c>
      <c r="C33" s="3"/>
      <c r="D33" s="8">
        <f>70000/D31</f>
        <v>0.80868761552680224</v>
      </c>
    </row>
    <row r="35" spans="2:5" x14ac:dyDescent="0.25">
      <c r="B35" t="s">
        <v>19</v>
      </c>
      <c r="C35" s="3" t="s">
        <v>20</v>
      </c>
      <c r="D35" s="9">
        <f>+'Datos luminarias país'!C72</f>
        <v>5626.9854031434315</v>
      </c>
    </row>
    <row r="37" spans="2:5" x14ac:dyDescent="0.25">
      <c r="B37" t="s">
        <v>55</v>
      </c>
      <c r="D37" s="8">
        <f>D33*D31*D5/(D33*D31*D5+D35)</f>
        <v>0.75669179077794513</v>
      </c>
      <c r="E37" s="4">
        <f>+'Oferta 1'!D37</f>
        <v>0.71330363336173774</v>
      </c>
    </row>
    <row r="39" spans="2:5" x14ac:dyDescent="0.25">
      <c r="B39" t="s">
        <v>42</v>
      </c>
      <c r="C39" s="3" t="s">
        <v>41</v>
      </c>
      <c r="D39" s="18">
        <v>150</v>
      </c>
    </row>
    <row r="41" spans="2:5" x14ac:dyDescent="0.25">
      <c r="C41" t="s">
        <v>40</v>
      </c>
      <c r="D41" s="19">
        <v>2.9634</v>
      </c>
    </row>
    <row r="43" spans="2:5" x14ac:dyDescent="0.25">
      <c r="B43" t="s">
        <v>43</v>
      </c>
      <c r="C43" s="3" t="s">
        <v>41</v>
      </c>
      <c r="D43" s="18">
        <f>D39/D41</f>
        <v>50.617533913747721</v>
      </c>
    </row>
    <row r="45" spans="2:5" x14ac:dyDescent="0.25">
      <c r="B45" t="s">
        <v>56</v>
      </c>
      <c r="C45" t="s">
        <v>37</v>
      </c>
      <c r="D45" s="15">
        <f>D43*D37</f>
        <v>38.301872381957132</v>
      </c>
      <c r="E45" s="9">
        <f>+'Oferta 1'!D45</f>
        <v>36.105670852487229</v>
      </c>
    </row>
    <row r="49" spans="1:20" x14ac:dyDescent="0.25">
      <c r="A49" t="s">
        <v>59</v>
      </c>
      <c r="B49" s="1" t="s">
        <v>60</v>
      </c>
      <c r="E49" s="7" t="s">
        <v>16</v>
      </c>
      <c r="F49" s="7">
        <v>1</v>
      </c>
      <c r="G49" s="7">
        <f>+F49+1</f>
        <v>2</v>
      </c>
      <c r="H49" s="7">
        <f t="shared" ref="H49:T49" si="5">+G49+1</f>
        <v>3</v>
      </c>
      <c r="I49" s="7">
        <f t="shared" si="5"/>
        <v>4</v>
      </c>
      <c r="J49" s="7">
        <f t="shared" si="5"/>
        <v>5</v>
      </c>
      <c r="K49" s="7">
        <f t="shared" si="5"/>
        <v>6</v>
      </c>
      <c r="L49" s="7">
        <f t="shared" si="5"/>
        <v>7</v>
      </c>
      <c r="M49" s="7">
        <f t="shared" si="5"/>
        <v>8</v>
      </c>
      <c r="N49" s="7">
        <f t="shared" si="5"/>
        <v>9</v>
      </c>
      <c r="O49" s="7">
        <f t="shared" si="5"/>
        <v>10</v>
      </c>
      <c r="P49" s="7">
        <f t="shared" si="5"/>
        <v>11</v>
      </c>
      <c r="Q49" s="7">
        <f t="shared" si="5"/>
        <v>12</v>
      </c>
      <c r="R49" s="7">
        <f t="shared" si="5"/>
        <v>13</v>
      </c>
      <c r="S49" s="7">
        <f t="shared" si="5"/>
        <v>14</v>
      </c>
      <c r="T49" s="7">
        <f t="shared" si="5"/>
        <v>15</v>
      </c>
    </row>
    <row r="51" spans="1:20" x14ac:dyDescent="0.25">
      <c r="E51" t="s">
        <v>11</v>
      </c>
      <c r="F51" s="5">
        <f>+F19</f>
        <v>12.744672583145753</v>
      </c>
      <c r="G51" s="5">
        <f t="shared" ref="G51:T51" si="6">+G19</f>
        <v>23.601245524343987</v>
      </c>
      <c r="H51" s="5">
        <f t="shared" si="6"/>
        <v>23.601245524343987</v>
      </c>
      <c r="I51" s="5">
        <f t="shared" si="6"/>
        <v>23.601245524343987</v>
      </c>
      <c r="J51" s="5">
        <f t="shared" si="6"/>
        <v>23.601245524343987</v>
      </c>
      <c r="K51" s="5">
        <f t="shared" si="6"/>
        <v>23.601245524343987</v>
      </c>
      <c r="L51" s="5">
        <f t="shared" si="6"/>
        <v>23.601245524343987</v>
      </c>
      <c r="M51" s="5">
        <f t="shared" si="6"/>
        <v>23.601245524343987</v>
      </c>
      <c r="N51" s="5">
        <f t="shared" si="6"/>
        <v>23.601245524343987</v>
      </c>
      <c r="O51" s="5">
        <f t="shared" si="6"/>
        <v>23.601245524343987</v>
      </c>
      <c r="P51" s="5">
        <f t="shared" si="6"/>
        <v>0</v>
      </c>
      <c r="Q51" s="5">
        <f t="shared" si="6"/>
        <v>0</v>
      </c>
      <c r="R51" s="5">
        <f t="shared" si="6"/>
        <v>0</v>
      </c>
      <c r="S51" s="5">
        <f t="shared" si="6"/>
        <v>0</v>
      </c>
      <c r="T51" s="5">
        <f t="shared" si="6"/>
        <v>0</v>
      </c>
    </row>
    <row r="52" spans="1:20" x14ac:dyDescent="0.25">
      <c r="F52" s="5"/>
      <c r="G52" s="5"/>
      <c r="H52" s="5"/>
      <c r="I52" s="5"/>
      <c r="J52" s="5"/>
      <c r="K52" s="5"/>
      <c r="L52" s="5"/>
      <c r="M52" s="5"/>
      <c r="N52" s="5"/>
      <c r="O52" s="5"/>
      <c r="P52" s="5"/>
      <c r="Q52" s="5"/>
      <c r="R52" s="5"/>
      <c r="S52" s="5"/>
      <c r="T52" s="5"/>
    </row>
    <row r="53" spans="1:20" x14ac:dyDescent="0.25">
      <c r="E53" t="s">
        <v>12</v>
      </c>
      <c r="F53" s="9">
        <f>+D45*D8</f>
        <v>20.683011086256851</v>
      </c>
      <c r="G53" s="9">
        <f>+D45</f>
        <v>38.301872381957132</v>
      </c>
      <c r="H53" s="9">
        <f>+G53</f>
        <v>38.301872381957132</v>
      </c>
      <c r="I53" s="5"/>
      <c r="J53" s="5"/>
      <c r="K53" s="5"/>
      <c r="L53" s="5"/>
      <c r="M53" s="5"/>
      <c r="N53" s="5"/>
      <c r="O53" s="5"/>
      <c r="P53" s="5"/>
      <c r="Q53" s="5"/>
      <c r="R53" s="5"/>
      <c r="S53" s="5"/>
      <c r="T53" s="5"/>
    </row>
    <row r="54" spans="1:20" x14ac:dyDescent="0.25">
      <c r="F54" s="5"/>
      <c r="G54" s="5"/>
      <c r="H54" s="5"/>
      <c r="I54" s="5"/>
      <c r="J54" s="5"/>
      <c r="K54" s="5"/>
      <c r="L54" s="5"/>
      <c r="M54" s="5"/>
      <c r="N54" s="5"/>
      <c r="O54" s="5"/>
      <c r="P54" s="5"/>
      <c r="Q54" s="5"/>
      <c r="R54" s="5"/>
      <c r="S54" s="5"/>
      <c r="T54" s="5"/>
    </row>
    <row r="55" spans="1:20" x14ac:dyDescent="0.25">
      <c r="E55" t="s">
        <v>13</v>
      </c>
      <c r="F55" s="5">
        <f>+F23</f>
        <v>-11.470205324831179</v>
      </c>
      <c r="G55" s="5">
        <f t="shared" ref="G55:T55" si="7">+G23</f>
        <v>-21.241120971909588</v>
      </c>
      <c r="H55" s="5">
        <f t="shared" si="7"/>
        <v>-21.241120971909588</v>
      </c>
      <c r="I55" s="5">
        <f t="shared" si="7"/>
        <v>-21.241120971909588</v>
      </c>
      <c r="J55" s="5">
        <f t="shared" si="7"/>
        <v>-21.241120971909588</v>
      </c>
      <c r="K55" s="5">
        <f t="shared" si="7"/>
        <v>-21.241120971909588</v>
      </c>
      <c r="L55" s="5">
        <f t="shared" si="7"/>
        <v>-21.241120971909588</v>
      </c>
      <c r="M55" s="5">
        <f t="shared" si="7"/>
        <v>-21.241120971909588</v>
      </c>
      <c r="N55" s="5">
        <f t="shared" si="7"/>
        <v>0</v>
      </c>
      <c r="O55" s="5">
        <f t="shared" si="7"/>
        <v>0</v>
      </c>
      <c r="P55" s="5">
        <f t="shared" si="7"/>
        <v>0</v>
      </c>
      <c r="Q55" s="5">
        <f t="shared" si="7"/>
        <v>0</v>
      </c>
      <c r="R55" s="5">
        <f t="shared" si="7"/>
        <v>0</v>
      </c>
      <c r="S55" s="5">
        <f t="shared" si="7"/>
        <v>0</v>
      </c>
      <c r="T55" s="5">
        <f t="shared" si="7"/>
        <v>0</v>
      </c>
    </row>
    <row r="56" spans="1:20" x14ac:dyDescent="0.25">
      <c r="F56" s="5"/>
      <c r="G56" s="5"/>
      <c r="H56" s="5"/>
      <c r="I56" s="5"/>
      <c r="J56" s="5"/>
      <c r="K56" s="5"/>
      <c r="L56" s="5"/>
      <c r="M56" s="5"/>
      <c r="N56" s="5"/>
      <c r="O56" s="5"/>
      <c r="P56" s="5"/>
      <c r="Q56" s="5"/>
      <c r="R56" s="5"/>
      <c r="S56" s="5"/>
      <c r="T56" s="5"/>
    </row>
    <row r="57" spans="1:20" x14ac:dyDescent="0.25">
      <c r="E57" s="1" t="s">
        <v>15</v>
      </c>
      <c r="F57" s="6">
        <f>SUM(F51:F55)</f>
        <v>21.957478344571427</v>
      </c>
      <c r="G57" s="6">
        <f t="shared" ref="G57:T57" si="8">SUM(G51:G55)</f>
        <v>40.661996934391532</v>
      </c>
      <c r="H57" s="6">
        <f t="shared" si="8"/>
        <v>40.661996934391532</v>
      </c>
      <c r="I57" s="6">
        <f t="shared" si="8"/>
        <v>2.3601245524343994</v>
      </c>
      <c r="J57" s="6">
        <f t="shared" si="8"/>
        <v>2.3601245524343994</v>
      </c>
      <c r="K57" s="6">
        <f t="shared" si="8"/>
        <v>2.3601245524343994</v>
      </c>
      <c r="L57" s="6">
        <f t="shared" si="8"/>
        <v>2.3601245524343994</v>
      </c>
      <c r="M57" s="6">
        <f t="shared" si="8"/>
        <v>2.3601245524343994</v>
      </c>
      <c r="N57" s="6">
        <f t="shared" si="8"/>
        <v>23.601245524343987</v>
      </c>
      <c r="O57" s="6">
        <f t="shared" si="8"/>
        <v>23.601245524343987</v>
      </c>
      <c r="P57" s="6">
        <f t="shared" si="8"/>
        <v>0</v>
      </c>
      <c r="Q57" s="6">
        <f t="shared" si="8"/>
        <v>0</v>
      </c>
      <c r="R57" s="6">
        <f t="shared" si="8"/>
        <v>0</v>
      </c>
      <c r="S57" s="6">
        <f t="shared" si="8"/>
        <v>0</v>
      </c>
      <c r="T57" s="6">
        <f t="shared" si="8"/>
        <v>0</v>
      </c>
    </row>
    <row r="59" spans="1:20" x14ac:dyDescent="0.25">
      <c r="E59" s="1" t="str">
        <f>"VAN "&amp;$A$2&amp;" - con subsidio"</f>
        <v>VAN Oferta 2 - con subsidio</v>
      </c>
      <c r="F59" s="24">
        <f>NPV($D$10,F57:T57)</f>
        <v>126.53983034074224</v>
      </c>
    </row>
    <row r="61" spans="1:20" x14ac:dyDescent="0.25">
      <c r="F61" s="22"/>
    </row>
    <row r="62" spans="1:20" x14ac:dyDescent="0.25">
      <c r="F62" s="22"/>
      <c r="G62" s="22"/>
      <c r="H62" s="22"/>
    </row>
    <row r="63" spans="1:20" x14ac:dyDescent="0.25">
      <c r="F63" s="22"/>
      <c r="G63" s="22"/>
      <c r="H63" s="22"/>
    </row>
    <row r="64" spans="1:20" x14ac:dyDescent="0.25">
      <c r="F64" s="22"/>
      <c r="G64" s="22"/>
      <c r="H64" s="22"/>
    </row>
    <row r="65" spans="6:8" x14ac:dyDescent="0.25">
      <c r="F65" s="22"/>
      <c r="G65" s="22"/>
      <c r="H65" s="22"/>
    </row>
    <row r="67" spans="6:8" x14ac:dyDescent="0.25">
      <c r="F67" s="22"/>
      <c r="G67" s="22"/>
      <c r="H67" s="22"/>
    </row>
    <row r="70" spans="6:8" x14ac:dyDescent="0.25">
      <c r="F70" s="5"/>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abSelected="1" view="pageBreakPreview" zoomScale="90" zoomScaleNormal="90" zoomScaleSheetLayoutView="90" workbookViewId="0">
      <selection activeCell="A19" sqref="A19"/>
    </sheetView>
  </sheetViews>
  <sheetFormatPr baseColWidth="10" defaultRowHeight="15" outlineLevelCol="1" x14ac:dyDescent="0.25"/>
  <cols>
    <col min="1" max="1" width="6.140625" style="56" customWidth="1"/>
    <col min="2" max="2" width="32.42578125" style="56" customWidth="1"/>
    <col min="3" max="3" width="23.140625" style="56" customWidth="1"/>
    <col min="4" max="4" width="19.140625" style="56" customWidth="1"/>
    <col min="5" max="5" width="16.7109375" style="56" customWidth="1"/>
    <col min="6" max="6" width="38.140625" style="56" customWidth="1"/>
    <col min="7" max="7" width="20.85546875" style="56" customWidth="1"/>
    <col min="8" max="8" width="19.42578125" style="56" customWidth="1"/>
    <col min="9" max="10" width="16.7109375" style="56" customWidth="1"/>
    <col min="11" max="11" width="22.42578125" style="56" customWidth="1"/>
    <col min="12" max="12" width="27.85546875" style="56" customWidth="1"/>
    <col min="13" max="13" width="11.42578125" style="56"/>
    <col min="14" max="15" width="11.42578125" style="56" hidden="1" customWidth="1" outlineLevel="1"/>
    <col min="16" max="16" width="14.85546875" style="56" hidden="1" customWidth="1" outlineLevel="1"/>
    <col min="17" max="20" width="11.42578125" style="56" hidden="1" customWidth="1" outlineLevel="1"/>
    <col min="21" max="21" width="11.42578125" style="56" collapsed="1"/>
    <col min="22" max="16384" width="11.42578125" style="56"/>
  </cols>
  <sheetData>
    <row r="1" spans="1:7" ht="18.75" x14ac:dyDescent="0.3">
      <c r="B1" s="62" t="s">
        <v>155</v>
      </c>
    </row>
    <row r="3" spans="1:7" x14ac:dyDescent="0.25">
      <c r="A3" s="68" t="s">
        <v>159</v>
      </c>
      <c r="B3" s="68" t="s">
        <v>232</v>
      </c>
      <c r="C3" s="63"/>
      <c r="D3" s="63"/>
      <c r="E3" s="63"/>
      <c r="F3" s="63"/>
      <c r="G3" s="63"/>
    </row>
    <row r="4" spans="1:7" x14ac:dyDescent="0.25">
      <c r="A4" s="63"/>
      <c r="B4" s="63"/>
      <c r="C4" s="63"/>
      <c r="D4" s="63"/>
      <c r="E4" s="63"/>
      <c r="F4" s="63"/>
      <c r="G4" s="63"/>
    </row>
    <row r="5" spans="1:7" ht="42.75" x14ac:dyDescent="0.25">
      <c r="A5" s="63"/>
      <c r="B5" s="109" t="s">
        <v>154</v>
      </c>
      <c r="C5" s="65" t="s">
        <v>156</v>
      </c>
      <c r="D5" s="65" t="s">
        <v>157</v>
      </c>
      <c r="E5" s="63"/>
      <c r="F5" s="63"/>
      <c r="G5" s="63"/>
    </row>
    <row r="6" spans="1:7" x14ac:dyDescent="0.25">
      <c r="A6" s="63"/>
      <c r="B6" s="144"/>
      <c r="C6" s="160"/>
      <c r="D6" s="144" t="s">
        <v>117</v>
      </c>
      <c r="E6" s="63"/>
      <c r="F6" s="63"/>
      <c r="G6" s="63"/>
    </row>
    <row r="7" spans="1:7" x14ac:dyDescent="0.25">
      <c r="A7" s="63"/>
      <c r="B7" s="144"/>
      <c r="C7" s="160"/>
      <c r="D7" s="144" t="s">
        <v>117</v>
      </c>
      <c r="E7" s="63"/>
      <c r="F7" s="63"/>
      <c r="G7" s="63"/>
    </row>
    <row r="8" spans="1:7" x14ac:dyDescent="0.25">
      <c r="A8" s="63"/>
      <c r="B8" s="144"/>
      <c r="C8" s="144"/>
      <c r="D8" s="144" t="s">
        <v>117</v>
      </c>
      <c r="E8" s="63"/>
      <c r="F8" s="63"/>
      <c r="G8" s="63"/>
    </row>
    <row r="9" spans="1:7" x14ac:dyDescent="0.25">
      <c r="A9" s="63"/>
      <c r="B9" s="144"/>
      <c r="C9" s="144"/>
      <c r="D9" s="144" t="s">
        <v>117</v>
      </c>
      <c r="E9" s="63"/>
      <c r="F9" s="63"/>
      <c r="G9" s="63"/>
    </row>
    <row r="10" spans="1:7" x14ac:dyDescent="0.25">
      <c r="A10" s="63"/>
      <c r="B10" s="144"/>
      <c r="C10" s="144"/>
      <c r="D10" s="144" t="s">
        <v>117</v>
      </c>
      <c r="E10" s="63"/>
      <c r="F10" s="63"/>
      <c r="G10" s="63"/>
    </row>
    <row r="11" spans="1:7" x14ac:dyDescent="0.25">
      <c r="A11" s="63"/>
      <c r="B11" s="144"/>
      <c r="C11" s="144"/>
      <c r="D11" s="144" t="s">
        <v>117</v>
      </c>
      <c r="E11" s="63"/>
      <c r="F11" s="63"/>
      <c r="G11" s="63"/>
    </row>
    <row r="12" spans="1:7" x14ac:dyDescent="0.25">
      <c r="A12" s="63"/>
      <c r="B12" s="144"/>
      <c r="C12" s="144"/>
      <c r="D12" s="144" t="s">
        <v>117</v>
      </c>
      <c r="E12" s="63"/>
      <c r="F12" s="63"/>
      <c r="G12" s="63"/>
    </row>
    <row r="13" spans="1:7" x14ac:dyDescent="0.25">
      <c r="A13" s="63"/>
      <c r="B13" s="144"/>
      <c r="C13" s="144"/>
      <c r="D13" s="144" t="s">
        <v>117</v>
      </c>
      <c r="E13" s="63"/>
      <c r="F13" s="63"/>
      <c r="G13" s="63"/>
    </row>
    <row r="14" spans="1:7" x14ac:dyDescent="0.25">
      <c r="A14" s="63"/>
      <c r="B14" s="144"/>
      <c r="C14" s="144"/>
      <c r="D14" s="144" t="s">
        <v>117</v>
      </c>
      <c r="E14" s="63"/>
      <c r="F14" s="63"/>
      <c r="G14" s="63"/>
    </row>
    <row r="15" spans="1:7" x14ac:dyDescent="0.25">
      <c r="A15" s="63"/>
      <c r="B15" s="144"/>
      <c r="C15" s="144"/>
      <c r="D15" s="144" t="s">
        <v>117</v>
      </c>
      <c r="E15" s="63"/>
      <c r="F15" s="63"/>
      <c r="G15" s="63"/>
    </row>
    <row r="16" spans="1:7" x14ac:dyDescent="0.25">
      <c r="A16" s="63"/>
      <c r="B16" s="63"/>
      <c r="C16" s="63"/>
      <c r="D16" s="63"/>
      <c r="E16" s="63"/>
      <c r="F16" s="63"/>
      <c r="G16" s="63"/>
    </row>
    <row r="17" spans="1:20" x14ac:dyDescent="0.25">
      <c r="A17" s="63"/>
      <c r="B17" s="111" t="s">
        <v>227</v>
      </c>
      <c r="C17" s="63"/>
      <c r="D17" s="63"/>
      <c r="E17" s="63"/>
      <c r="F17" s="63"/>
      <c r="G17" s="63"/>
    </row>
    <row r="18" spans="1:20" x14ac:dyDescent="0.25">
      <c r="A18" s="63"/>
      <c r="B18" s="111"/>
      <c r="C18" s="63"/>
      <c r="D18" s="63"/>
      <c r="E18" s="63"/>
      <c r="F18" s="63"/>
      <c r="G18" s="63"/>
    </row>
    <row r="19" spans="1:20" x14ac:dyDescent="0.25">
      <c r="A19" s="60" t="s">
        <v>160</v>
      </c>
      <c r="B19" s="60" t="s">
        <v>233</v>
      </c>
    </row>
    <row r="20" spans="1:20" x14ac:dyDescent="0.25">
      <c r="A20" s="60"/>
      <c r="B20" s="55"/>
    </row>
    <row r="21" spans="1:20" x14ac:dyDescent="0.25">
      <c r="A21" s="60" t="s">
        <v>161</v>
      </c>
      <c r="B21" s="60" t="s">
        <v>231</v>
      </c>
      <c r="L21" s="59"/>
    </row>
    <row r="22" spans="1:20" x14ac:dyDescent="0.25">
      <c r="A22" s="60"/>
      <c r="B22" s="60"/>
      <c r="L22" s="59"/>
    </row>
    <row r="23" spans="1:20" x14ac:dyDescent="0.25">
      <c r="A23" s="60" t="s">
        <v>242</v>
      </c>
      <c r="B23" s="60" t="s">
        <v>228</v>
      </c>
      <c r="L23" s="59"/>
      <c r="N23" s="56" t="s">
        <v>135</v>
      </c>
      <c r="P23" s="56" t="s">
        <v>153</v>
      </c>
      <c r="R23" s="56" t="s">
        <v>152</v>
      </c>
      <c r="T23" s="56" t="s">
        <v>247</v>
      </c>
    </row>
    <row r="24" spans="1:20" x14ac:dyDescent="0.25">
      <c r="N24" s="56" t="s">
        <v>117</v>
      </c>
      <c r="P24" s="56" t="s">
        <v>117</v>
      </c>
      <c r="R24" s="61" t="s">
        <v>117</v>
      </c>
      <c r="T24" s="56" t="s">
        <v>117</v>
      </c>
    </row>
    <row r="25" spans="1:20" ht="71.25" x14ac:dyDescent="0.25">
      <c r="B25" s="58" t="s">
        <v>124</v>
      </c>
      <c r="C25" s="58" t="s">
        <v>125</v>
      </c>
      <c r="D25" s="58" t="s">
        <v>126</v>
      </c>
      <c r="E25" s="58" t="s">
        <v>138</v>
      </c>
      <c r="F25" s="58" t="s">
        <v>134</v>
      </c>
      <c r="G25" s="58" t="s">
        <v>139</v>
      </c>
      <c r="H25" s="58" t="s">
        <v>142</v>
      </c>
      <c r="I25" s="58" t="s">
        <v>143</v>
      </c>
      <c r="J25" s="65" t="s">
        <v>214</v>
      </c>
      <c r="K25" s="65" t="s">
        <v>217</v>
      </c>
      <c r="L25" s="65" t="s">
        <v>164</v>
      </c>
      <c r="N25" s="56" t="s">
        <v>130</v>
      </c>
      <c r="P25" s="56" t="s">
        <v>136</v>
      </c>
      <c r="R25" s="61" t="s">
        <v>118</v>
      </c>
      <c r="T25" s="56" t="s">
        <v>115</v>
      </c>
    </row>
    <row r="26" spans="1:20" ht="14.25" customHeight="1" x14ac:dyDescent="0.25">
      <c r="B26" s="64">
        <v>1</v>
      </c>
      <c r="C26" s="57" t="s">
        <v>128</v>
      </c>
      <c r="D26" s="155"/>
      <c r="E26" s="144" t="s">
        <v>117</v>
      </c>
      <c r="F26" s="144"/>
      <c r="G26" s="144" t="s">
        <v>117</v>
      </c>
      <c r="H26" s="144"/>
      <c r="I26" s="96">
        <f>H26*D26</f>
        <v>0</v>
      </c>
      <c r="J26" s="157" t="s">
        <v>117</v>
      </c>
      <c r="K26" s="151" t="s">
        <v>117</v>
      </c>
      <c r="L26" s="157" t="s">
        <v>117</v>
      </c>
      <c r="N26" s="56" t="s">
        <v>131</v>
      </c>
      <c r="P26" s="56" t="s">
        <v>140</v>
      </c>
      <c r="R26" s="61" t="s">
        <v>119</v>
      </c>
      <c r="T26" s="56" t="s">
        <v>116</v>
      </c>
    </row>
    <row r="27" spans="1:20" x14ac:dyDescent="0.25">
      <c r="N27" s="56" t="s">
        <v>132</v>
      </c>
      <c r="P27" s="56" t="s">
        <v>141</v>
      </c>
      <c r="R27" s="61" t="s">
        <v>120</v>
      </c>
    </row>
    <row r="28" spans="1:20" x14ac:dyDescent="0.25">
      <c r="B28" s="106" t="s">
        <v>227</v>
      </c>
      <c r="F28" s="59"/>
      <c r="K28" s="159"/>
      <c r="N28" s="56" t="s">
        <v>133</v>
      </c>
      <c r="R28" s="56" t="s">
        <v>167</v>
      </c>
    </row>
    <row r="29" spans="1:20" x14ac:dyDescent="0.25">
      <c r="B29" s="106"/>
      <c r="F29" s="59"/>
      <c r="K29" s="67"/>
    </row>
    <row r="30" spans="1:20" x14ac:dyDescent="0.25">
      <c r="A30" s="60" t="s">
        <v>229</v>
      </c>
      <c r="B30" s="60" t="s">
        <v>137</v>
      </c>
      <c r="K30" s="67"/>
    </row>
    <row r="31" spans="1:20" x14ac:dyDescent="0.25">
      <c r="B31" s="60"/>
    </row>
    <row r="32" spans="1:20" ht="42.75" x14ac:dyDescent="0.25">
      <c r="B32" s="107" t="s">
        <v>218</v>
      </c>
      <c r="C32" s="107" t="s">
        <v>129</v>
      </c>
      <c r="D32" s="58" t="s">
        <v>142</v>
      </c>
      <c r="E32" s="173" t="s">
        <v>134</v>
      </c>
      <c r="F32" s="173"/>
    </row>
    <row r="33" spans="1:14" x14ac:dyDescent="0.25">
      <c r="B33" s="57" t="s">
        <v>122</v>
      </c>
      <c r="C33" s="143" t="s">
        <v>117</v>
      </c>
      <c r="D33" s="143"/>
      <c r="E33" s="174"/>
      <c r="F33" s="174"/>
    </row>
    <row r="34" spans="1:14" x14ac:dyDescent="0.25">
      <c r="B34" s="57" t="s">
        <v>123</v>
      </c>
      <c r="C34" s="143" t="s">
        <v>117</v>
      </c>
      <c r="D34" s="143"/>
      <c r="E34" s="174"/>
      <c r="F34" s="174"/>
    </row>
    <row r="36" spans="1:14" x14ac:dyDescent="0.25">
      <c r="A36" s="60" t="s">
        <v>243</v>
      </c>
      <c r="B36" s="68" t="s">
        <v>225</v>
      </c>
    </row>
    <row r="38" spans="1:14" ht="42.75" x14ac:dyDescent="0.25">
      <c r="B38" s="107" t="s">
        <v>226</v>
      </c>
      <c r="C38" s="107" t="s">
        <v>129</v>
      </c>
      <c r="D38" s="58" t="s">
        <v>143</v>
      </c>
      <c r="E38" s="173" t="s">
        <v>134</v>
      </c>
      <c r="F38" s="173"/>
    </row>
    <row r="39" spans="1:14" x14ac:dyDescent="0.25">
      <c r="B39" s="57" t="s">
        <v>219</v>
      </c>
      <c r="C39" s="143" t="s">
        <v>117</v>
      </c>
      <c r="D39" s="143"/>
      <c r="E39" s="175"/>
      <c r="F39" s="176"/>
    </row>
    <row r="40" spans="1:14" x14ac:dyDescent="0.25">
      <c r="B40" s="57" t="s">
        <v>220</v>
      </c>
      <c r="C40" s="143" t="s">
        <v>117</v>
      </c>
      <c r="D40" s="143"/>
      <c r="E40" s="175"/>
      <c r="F40" s="176"/>
    </row>
    <row r="41" spans="1:14" x14ac:dyDescent="0.25">
      <c r="B41" s="57" t="s">
        <v>221</v>
      </c>
      <c r="C41" s="143" t="s">
        <v>117</v>
      </c>
      <c r="D41" s="143"/>
      <c r="E41" s="175"/>
      <c r="F41" s="176"/>
    </row>
    <row r="42" spans="1:14" x14ac:dyDescent="0.25">
      <c r="B42" s="57" t="s">
        <v>222</v>
      </c>
      <c r="C42" s="143" t="s">
        <v>117</v>
      </c>
      <c r="D42" s="143"/>
      <c r="E42" s="175"/>
      <c r="F42" s="176"/>
      <c r="N42" s="56" t="s">
        <v>144</v>
      </c>
    </row>
    <row r="43" spans="1:14" x14ac:dyDescent="0.25">
      <c r="B43" s="57" t="s">
        <v>223</v>
      </c>
      <c r="C43" s="143" t="s">
        <v>117</v>
      </c>
      <c r="D43" s="143"/>
      <c r="E43" s="175"/>
      <c r="F43" s="176"/>
    </row>
    <row r="44" spans="1:14" x14ac:dyDescent="0.25">
      <c r="B44" s="57" t="s">
        <v>224</v>
      </c>
      <c r="C44" s="143" t="s">
        <v>117</v>
      </c>
      <c r="D44" s="143"/>
      <c r="E44" s="175"/>
      <c r="F44" s="176"/>
    </row>
    <row r="45" spans="1:14" x14ac:dyDescent="0.25">
      <c r="N45" s="56" t="s">
        <v>145</v>
      </c>
    </row>
    <row r="48" spans="1:14" x14ac:dyDescent="0.25">
      <c r="A48" s="60" t="s">
        <v>162</v>
      </c>
      <c r="B48" s="60" t="s">
        <v>230</v>
      </c>
    </row>
    <row r="49" spans="1:18" x14ac:dyDescent="0.25">
      <c r="A49" s="60"/>
      <c r="B49" s="60"/>
    </row>
    <row r="50" spans="1:18" x14ac:dyDescent="0.25">
      <c r="A50" s="60" t="s">
        <v>244</v>
      </c>
      <c r="B50" s="60" t="s">
        <v>228</v>
      </c>
    </row>
    <row r="52" spans="1:18" ht="57" x14ac:dyDescent="0.25">
      <c r="B52" s="58" t="s">
        <v>124</v>
      </c>
      <c r="C52" s="58" t="s">
        <v>125</v>
      </c>
      <c r="D52" s="58" t="s">
        <v>126</v>
      </c>
      <c r="E52" s="58" t="s">
        <v>138</v>
      </c>
      <c r="F52" s="58" t="s">
        <v>134</v>
      </c>
      <c r="G52" s="58" t="s">
        <v>139</v>
      </c>
      <c r="H52" s="58" t="s">
        <v>142</v>
      </c>
      <c r="I52" s="58" t="s">
        <v>143</v>
      </c>
      <c r="J52" s="65" t="s">
        <v>214</v>
      </c>
      <c r="K52" s="65" t="s">
        <v>215</v>
      </c>
      <c r="L52" s="65" t="s">
        <v>216</v>
      </c>
    </row>
    <row r="53" spans="1:18" x14ac:dyDescent="0.25">
      <c r="B53" s="57">
        <v>1</v>
      </c>
      <c r="C53" s="57" t="s">
        <v>128</v>
      </c>
      <c r="D53" s="156">
        <v>48000</v>
      </c>
      <c r="E53" s="144" t="s">
        <v>117</v>
      </c>
      <c r="F53" s="144"/>
      <c r="G53" s="144" t="s">
        <v>117</v>
      </c>
      <c r="H53" s="155"/>
      <c r="I53" s="96">
        <f t="shared" ref="I53:I59" si="0">H53*D53</f>
        <v>0</v>
      </c>
      <c r="J53" s="151" t="s">
        <v>117</v>
      </c>
      <c r="K53" s="171"/>
      <c r="L53" s="151" t="s">
        <v>117</v>
      </c>
    </row>
    <row r="54" spans="1:18" x14ac:dyDescent="0.25">
      <c r="B54" s="57">
        <f t="shared" ref="B54:B59" si="1">+B53+1</f>
        <v>2</v>
      </c>
      <c r="C54" s="57" t="s">
        <v>146</v>
      </c>
      <c r="D54" s="156">
        <v>1000</v>
      </c>
      <c r="E54" s="144" t="s">
        <v>117</v>
      </c>
      <c r="F54" s="144"/>
      <c r="G54" s="144" t="s">
        <v>117</v>
      </c>
      <c r="H54" s="155"/>
      <c r="I54" s="96">
        <f t="shared" si="0"/>
        <v>0</v>
      </c>
      <c r="J54" s="151" t="s">
        <v>117</v>
      </c>
      <c r="K54" s="171"/>
      <c r="L54" s="151" t="s">
        <v>117</v>
      </c>
    </row>
    <row r="55" spans="1:18" x14ac:dyDescent="0.25">
      <c r="B55" s="57">
        <f t="shared" si="1"/>
        <v>3</v>
      </c>
      <c r="C55" s="57" t="s">
        <v>147</v>
      </c>
      <c r="D55" s="156">
        <v>6000</v>
      </c>
      <c r="E55" s="144" t="s">
        <v>117</v>
      </c>
      <c r="F55" s="144"/>
      <c r="G55" s="144" t="s">
        <v>117</v>
      </c>
      <c r="H55" s="155"/>
      <c r="I55" s="96">
        <f t="shared" si="0"/>
        <v>0</v>
      </c>
      <c r="J55" s="151" t="s">
        <v>117</v>
      </c>
      <c r="K55" s="171"/>
      <c r="L55" s="151" t="s">
        <v>117</v>
      </c>
    </row>
    <row r="56" spans="1:18" x14ac:dyDescent="0.25">
      <c r="B56" s="57">
        <f t="shared" si="1"/>
        <v>4</v>
      </c>
      <c r="C56" s="57" t="s">
        <v>148</v>
      </c>
      <c r="D56" s="156">
        <v>3000</v>
      </c>
      <c r="E56" s="144" t="s">
        <v>117</v>
      </c>
      <c r="F56" s="144"/>
      <c r="G56" s="144" t="s">
        <v>117</v>
      </c>
      <c r="H56" s="155"/>
      <c r="I56" s="96">
        <f t="shared" si="0"/>
        <v>0</v>
      </c>
      <c r="J56" s="151" t="s">
        <v>117</v>
      </c>
      <c r="K56" s="171"/>
      <c r="L56" s="151" t="s">
        <v>117</v>
      </c>
    </row>
    <row r="57" spans="1:18" x14ac:dyDescent="0.25">
      <c r="B57" s="57">
        <f t="shared" si="1"/>
        <v>5</v>
      </c>
      <c r="C57" s="57" t="s">
        <v>149</v>
      </c>
      <c r="D57" s="156">
        <v>1</v>
      </c>
      <c r="E57" s="144" t="s">
        <v>117</v>
      </c>
      <c r="F57" s="144"/>
      <c r="G57" s="144" t="s">
        <v>117</v>
      </c>
      <c r="H57" s="155"/>
      <c r="I57" s="96">
        <f t="shared" si="0"/>
        <v>0</v>
      </c>
      <c r="J57" s="151" t="s">
        <v>117</v>
      </c>
      <c r="K57" s="171"/>
      <c r="L57" s="151" t="s">
        <v>117</v>
      </c>
    </row>
    <row r="58" spans="1:18" x14ac:dyDescent="0.25">
      <c r="B58" s="57">
        <f t="shared" si="1"/>
        <v>6</v>
      </c>
      <c r="C58" s="57" t="s">
        <v>150</v>
      </c>
      <c r="D58" s="156">
        <v>10</v>
      </c>
      <c r="E58" s="144" t="s">
        <v>117</v>
      </c>
      <c r="F58" s="144"/>
      <c r="G58" s="144" t="s">
        <v>117</v>
      </c>
      <c r="H58" s="155"/>
      <c r="I58" s="96">
        <f t="shared" si="0"/>
        <v>0</v>
      </c>
      <c r="J58" s="151" t="s">
        <v>117</v>
      </c>
      <c r="K58" s="171"/>
      <c r="L58" s="151" t="s">
        <v>117</v>
      </c>
    </row>
    <row r="59" spans="1:18" x14ac:dyDescent="0.25">
      <c r="B59" s="57">
        <f t="shared" si="1"/>
        <v>7</v>
      </c>
      <c r="C59" s="57" t="s">
        <v>151</v>
      </c>
      <c r="D59" s="156">
        <v>20000</v>
      </c>
      <c r="E59" s="144" t="s">
        <v>117</v>
      </c>
      <c r="F59" s="144"/>
      <c r="G59" s="144" t="s">
        <v>117</v>
      </c>
      <c r="H59" s="155"/>
      <c r="I59" s="96">
        <f t="shared" si="0"/>
        <v>0</v>
      </c>
      <c r="J59" s="151" t="s">
        <v>117</v>
      </c>
      <c r="K59" s="172"/>
      <c r="L59" s="151" t="s">
        <v>117</v>
      </c>
    </row>
    <row r="60" spans="1:18" x14ac:dyDescent="0.25">
      <c r="B60" s="162" t="s">
        <v>127</v>
      </c>
      <c r="C60" s="163"/>
      <c r="D60" s="163"/>
      <c r="E60" s="163"/>
      <c r="F60" s="163"/>
      <c r="G60" s="163"/>
      <c r="H60" s="164"/>
      <c r="I60" s="103">
        <f>SUM(I53:I59)</f>
        <v>0</v>
      </c>
      <c r="J60" s="66"/>
      <c r="K60" s="71"/>
    </row>
    <row r="62" spans="1:18" x14ac:dyDescent="0.25">
      <c r="K62" s="67"/>
      <c r="N62" s="56" t="s">
        <v>131</v>
      </c>
      <c r="P62" s="56" t="s">
        <v>140</v>
      </c>
      <c r="R62" s="61" t="s">
        <v>119</v>
      </c>
    </row>
    <row r="63" spans="1:18" x14ac:dyDescent="0.25">
      <c r="F63" s="59"/>
      <c r="K63" s="67"/>
      <c r="N63" s="56" t="s">
        <v>132</v>
      </c>
      <c r="P63" s="56" t="s">
        <v>141</v>
      </c>
      <c r="R63" s="61" t="s">
        <v>120</v>
      </c>
    </row>
    <row r="64" spans="1:18" x14ac:dyDescent="0.25">
      <c r="A64" s="60" t="s">
        <v>245</v>
      </c>
      <c r="B64" s="60" t="s">
        <v>137</v>
      </c>
      <c r="N64" s="56" t="s">
        <v>133</v>
      </c>
      <c r="R64" s="56" t="s">
        <v>167</v>
      </c>
    </row>
    <row r="65" spans="1:14" x14ac:dyDescent="0.25">
      <c r="B65" s="60"/>
    </row>
    <row r="66" spans="1:14" ht="42.75" x14ac:dyDescent="0.25">
      <c r="B66" s="107" t="s">
        <v>218</v>
      </c>
      <c r="C66" s="107" t="s">
        <v>129</v>
      </c>
      <c r="D66" s="58" t="s">
        <v>142</v>
      </c>
      <c r="E66" s="173" t="s">
        <v>134</v>
      </c>
      <c r="F66" s="173"/>
    </row>
    <row r="67" spans="1:14" x14ac:dyDescent="0.25">
      <c r="B67" s="57" t="s">
        <v>122</v>
      </c>
      <c r="C67" s="143" t="s">
        <v>117</v>
      </c>
      <c r="D67" s="143"/>
      <c r="E67" s="174"/>
      <c r="F67" s="174"/>
    </row>
    <row r="68" spans="1:14" x14ac:dyDescent="0.25">
      <c r="B68" s="57" t="s">
        <v>123</v>
      </c>
      <c r="C68" s="143" t="s">
        <v>117</v>
      </c>
      <c r="D68" s="143"/>
      <c r="E68" s="174"/>
      <c r="F68" s="174"/>
    </row>
    <row r="69" spans="1:14" x14ac:dyDescent="0.25">
      <c r="B69" s="57" t="s">
        <v>234</v>
      </c>
      <c r="C69" s="143" t="s">
        <v>117</v>
      </c>
      <c r="D69" s="143"/>
      <c r="E69" s="174"/>
      <c r="F69" s="174"/>
    </row>
    <row r="70" spans="1:14" x14ac:dyDescent="0.25">
      <c r="B70" s="57" t="s">
        <v>235</v>
      </c>
      <c r="C70" s="143" t="s">
        <v>117</v>
      </c>
      <c r="D70" s="143"/>
      <c r="E70" s="174"/>
      <c r="F70" s="174"/>
    </row>
    <row r="72" spans="1:14" x14ac:dyDescent="0.25">
      <c r="A72" s="60" t="s">
        <v>246</v>
      </c>
      <c r="B72" s="68" t="s">
        <v>225</v>
      </c>
    </row>
    <row r="74" spans="1:14" ht="42.75" x14ac:dyDescent="0.25">
      <c r="B74" s="107" t="s">
        <v>226</v>
      </c>
      <c r="C74" s="107" t="s">
        <v>129</v>
      </c>
      <c r="D74" s="58" t="s">
        <v>143</v>
      </c>
      <c r="E74" s="173" t="s">
        <v>134</v>
      </c>
      <c r="F74" s="173"/>
    </row>
    <row r="75" spans="1:14" x14ac:dyDescent="0.25">
      <c r="B75" s="57" t="s">
        <v>219</v>
      </c>
      <c r="C75" s="143" t="s">
        <v>117</v>
      </c>
      <c r="D75" s="143"/>
      <c r="E75" s="174"/>
      <c r="F75" s="174"/>
    </row>
    <row r="76" spans="1:14" x14ac:dyDescent="0.25">
      <c r="B76" s="57" t="s">
        <v>220</v>
      </c>
      <c r="C76" s="143" t="s">
        <v>117</v>
      </c>
      <c r="D76" s="143"/>
      <c r="E76" s="174"/>
      <c r="F76" s="174"/>
    </row>
    <row r="77" spans="1:14" x14ac:dyDescent="0.25">
      <c r="B77" s="57" t="s">
        <v>221</v>
      </c>
      <c r="C77" s="143" t="s">
        <v>117</v>
      </c>
      <c r="D77" s="143"/>
      <c r="E77" s="174"/>
      <c r="F77" s="174"/>
    </row>
    <row r="78" spans="1:14" x14ac:dyDescent="0.25">
      <c r="B78" s="57" t="s">
        <v>222</v>
      </c>
      <c r="C78" s="143" t="s">
        <v>117</v>
      </c>
      <c r="D78" s="143"/>
      <c r="E78" s="174"/>
      <c r="F78" s="174"/>
      <c r="N78" s="56" t="s">
        <v>144</v>
      </c>
    </row>
    <row r="79" spans="1:14" x14ac:dyDescent="0.25">
      <c r="B79" s="57" t="s">
        <v>223</v>
      </c>
      <c r="C79" s="143" t="s">
        <v>117</v>
      </c>
      <c r="D79" s="143"/>
      <c r="E79" s="174"/>
      <c r="F79" s="174"/>
    </row>
    <row r="80" spans="1:14" x14ac:dyDescent="0.25">
      <c r="B80" s="57" t="s">
        <v>224</v>
      </c>
      <c r="C80" s="143" t="s">
        <v>117</v>
      </c>
      <c r="D80" s="143"/>
      <c r="E80" s="174"/>
      <c r="F80" s="174"/>
    </row>
    <row r="81" spans="1:14" x14ac:dyDescent="0.25">
      <c r="B81" s="108"/>
      <c r="C81" s="108"/>
      <c r="D81" s="108"/>
    </row>
    <row r="82" spans="1:14" x14ac:dyDescent="0.25">
      <c r="A82" s="68" t="s">
        <v>163</v>
      </c>
      <c r="B82" s="68" t="s">
        <v>236</v>
      </c>
    </row>
    <row r="84" spans="1:14" x14ac:dyDescent="0.25">
      <c r="A84" s="60" t="s">
        <v>165</v>
      </c>
      <c r="B84" s="60" t="s">
        <v>171</v>
      </c>
    </row>
    <row r="86" spans="1:14" x14ac:dyDescent="0.25">
      <c r="B86" s="56" t="s">
        <v>70</v>
      </c>
      <c r="C86" s="155" t="s">
        <v>117</v>
      </c>
      <c r="D86" s="56" t="s">
        <v>276</v>
      </c>
    </row>
    <row r="87" spans="1:14" ht="16.5" x14ac:dyDescent="0.3">
      <c r="B87" s="56" t="s">
        <v>170</v>
      </c>
      <c r="C87" s="144"/>
      <c r="D87" s="56" t="s">
        <v>174</v>
      </c>
    </row>
    <row r="88" spans="1:14" x14ac:dyDescent="0.25">
      <c r="B88" s="56" t="s">
        <v>261</v>
      </c>
      <c r="C88" s="161"/>
      <c r="D88" s="56" t="s">
        <v>262</v>
      </c>
      <c r="J88" s="67"/>
      <c r="K88" s="67"/>
    </row>
    <row r="89" spans="1:14" x14ac:dyDescent="0.25">
      <c r="J89" s="67"/>
      <c r="K89" s="67"/>
    </row>
    <row r="90" spans="1:14" x14ac:dyDescent="0.25">
      <c r="N90" s="56" t="s">
        <v>117</v>
      </c>
    </row>
    <row r="91" spans="1:14" x14ac:dyDescent="0.25">
      <c r="N91" s="56">
        <v>0</v>
      </c>
    </row>
    <row r="92" spans="1:14" x14ac:dyDescent="0.25">
      <c r="A92" s="60" t="s">
        <v>166</v>
      </c>
      <c r="B92" s="60" t="s">
        <v>172</v>
      </c>
      <c r="N92" s="67">
        <v>6000</v>
      </c>
    </row>
    <row r="93" spans="1:14" x14ac:dyDescent="0.25">
      <c r="N93" s="67">
        <v>12000</v>
      </c>
    </row>
    <row r="94" spans="1:14" x14ac:dyDescent="0.25">
      <c r="B94" s="56" t="s">
        <v>70</v>
      </c>
      <c r="C94" s="155" t="s">
        <v>117</v>
      </c>
      <c r="D94" s="56" t="s">
        <v>277</v>
      </c>
    </row>
    <row r="95" spans="1:14" ht="16.5" x14ac:dyDescent="0.3">
      <c r="B95" s="56" t="s">
        <v>170</v>
      </c>
      <c r="C95" s="144"/>
      <c r="D95" s="56" t="s">
        <v>173</v>
      </c>
    </row>
    <row r="96" spans="1:14" x14ac:dyDescent="0.25">
      <c r="B96" s="56" t="s">
        <v>261</v>
      </c>
      <c r="C96" s="161"/>
      <c r="D96" s="56" t="s">
        <v>262</v>
      </c>
      <c r="N96" s="56" t="s">
        <v>117</v>
      </c>
    </row>
    <row r="97" spans="14:14" x14ac:dyDescent="0.25">
      <c r="N97" s="56">
        <v>0</v>
      </c>
    </row>
    <row r="98" spans="14:14" x14ac:dyDescent="0.25">
      <c r="N98" s="67">
        <f>SUM(D53:D56)</f>
        <v>58000</v>
      </c>
    </row>
    <row r="99" spans="14:14" x14ac:dyDescent="0.25">
      <c r="N99" s="67"/>
    </row>
  </sheetData>
  <sheetProtection algorithmName="SHA-512" hashValue="KUIWPJyd0BOrW4TcnjlcDp8EBNstErG7zY9hI8W/heLv5DA/L7406xV2UZ8vok7enBCHMHVLOTqllFifn37tBA==" saltValue="+rUg0otn8WxeXu4dWeCSxg==" spinCount="100000" sheet="1" objects="1" scenarios="1"/>
  <mergeCells count="23">
    <mergeCell ref="E79:F79"/>
    <mergeCell ref="E80:F80"/>
    <mergeCell ref="E74:F74"/>
    <mergeCell ref="E75:F75"/>
    <mergeCell ref="E76:F76"/>
    <mergeCell ref="E77:F77"/>
    <mergeCell ref="E78:F78"/>
    <mergeCell ref="E66:F66"/>
    <mergeCell ref="E67:F67"/>
    <mergeCell ref="E68:F68"/>
    <mergeCell ref="E69:F69"/>
    <mergeCell ref="E70:F70"/>
    <mergeCell ref="B60:H60"/>
    <mergeCell ref="E32:F32"/>
    <mergeCell ref="E33:F33"/>
    <mergeCell ref="E34:F34"/>
    <mergeCell ref="E38:F38"/>
    <mergeCell ref="E39:F39"/>
    <mergeCell ref="E40:F40"/>
    <mergeCell ref="E41:F41"/>
    <mergeCell ref="E42:F42"/>
    <mergeCell ref="E43:F43"/>
    <mergeCell ref="E44:F44"/>
  </mergeCells>
  <dataValidations count="6">
    <dataValidation type="list" allowBlank="1" showInputMessage="1" showErrorMessage="1" sqref="E26 C67:C70 C39:C44 C33:C34 C75:C81 E53:E59">
      <formula1>$N$24:$N$28</formula1>
    </dataValidation>
    <dataValidation type="list" allowBlank="1" showInputMessage="1" showErrorMessage="1" sqref="G26 G53:G59">
      <formula1>$P$24:$P$27</formula1>
    </dataValidation>
    <dataValidation type="list" allowBlank="1" showInputMessage="1" showErrorMessage="1" sqref="D6:D15 K26 L53:L59">
      <formula1>$R$24:$R$28</formula1>
    </dataValidation>
    <dataValidation type="list" allowBlank="1" showInputMessage="1" showErrorMessage="1" sqref="J26 L26 J53:J59">
      <formula1>$T$24:$T$26</formula1>
    </dataValidation>
    <dataValidation type="list" allowBlank="1" showInputMessage="1" showErrorMessage="1" sqref="C86">
      <formula1>$N$90:$N$93</formula1>
    </dataValidation>
    <dataValidation type="list" allowBlank="1" showInputMessage="1" showErrorMessage="1" sqref="C94">
      <formula1>$N$96:$N$98</formula1>
    </dataValidation>
  </dataValidations>
  <pageMargins left="0.70866141732283472" right="0.70866141732283472" top="0.74803149606299213" bottom="0.74803149606299213" header="0.31496062992125984" footer="0.31496062992125984"/>
  <pageSetup scale="45" orientation="landscape" r:id="rId1"/>
  <rowBreaks count="1" manualBreakCount="1">
    <brk id="62"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40"/>
  <sheetViews>
    <sheetView workbookViewId="0"/>
  </sheetViews>
  <sheetFormatPr baseColWidth="10" defaultRowHeight="15" outlineLevelCol="1" x14ac:dyDescent="0.25"/>
  <cols>
    <col min="2" max="2" width="18.140625" customWidth="1"/>
    <col min="3" max="3" width="16.140625" customWidth="1"/>
    <col min="4" max="4" width="17.5703125" customWidth="1"/>
    <col min="5" max="5" width="29.85546875" customWidth="1"/>
    <col min="6" max="6" width="17" customWidth="1"/>
    <col min="7" max="7" width="17.42578125" customWidth="1"/>
    <col min="10" max="10" width="31.85546875" customWidth="1"/>
    <col min="11" max="11" width="17.5703125" style="17" customWidth="1"/>
    <col min="14" max="14" width="0" hidden="1" customWidth="1" outlineLevel="1"/>
    <col min="15" max="15" width="11.42578125" collapsed="1"/>
  </cols>
  <sheetData>
    <row r="2" spans="1:5" ht="18.75" x14ac:dyDescent="0.3">
      <c r="B2" s="62" t="s">
        <v>175</v>
      </c>
    </row>
    <row r="4" spans="1:5" x14ac:dyDescent="0.25">
      <c r="A4" s="60" t="s">
        <v>159</v>
      </c>
      <c r="B4" s="60" t="s">
        <v>176</v>
      </c>
      <c r="C4" s="56"/>
      <c r="D4" s="56"/>
    </row>
    <row r="5" spans="1:5" x14ac:dyDescent="0.25">
      <c r="B5" s="56"/>
      <c r="C5" s="56"/>
      <c r="D5" s="56"/>
    </row>
    <row r="6" spans="1:5" x14ac:dyDescent="0.25">
      <c r="A6" s="60" t="s">
        <v>179</v>
      </c>
      <c r="B6" s="60" t="s">
        <v>180</v>
      </c>
    </row>
    <row r="8" spans="1:5" ht="16.5" x14ac:dyDescent="0.3">
      <c r="B8" s="56" t="s">
        <v>177</v>
      </c>
      <c r="C8" s="145">
        <v>131.9</v>
      </c>
      <c r="D8" s="56" t="s">
        <v>186</v>
      </c>
    </row>
    <row r="9" spans="1:5" x14ac:dyDescent="0.25">
      <c r="B9" s="56" t="s">
        <v>178</v>
      </c>
      <c r="C9" s="146">
        <v>1.7081999999999999</v>
      </c>
      <c r="D9" s="56" t="s">
        <v>181</v>
      </c>
    </row>
    <row r="10" spans="1:5" x14ac:dyDescent="0.25">
      <c r="B10" s="56" t="s">
        <v>182</v>
      </c>
      <c r="C10" s="85">
        <v>4380</v>
      </c>
      <c r="D10" s="56" t="s">
        <v>183</v>
      </c>
      <c r="E10" s="56"/>
    </row>
    <row r="11" spans="1:5" x14ac:dyDescent="0.25">
      <c r="B11" s="56" t="s">
        <v>71</v>
      </c>
      <c r="C11" s="147">
        <v>0.54</v>
      </c>
      <c r="D11" s="56" t="s">
        <v>72</v>
      </c>
    </row>
    <row r="12" spans="1:5" x14ac:dyDescent="0.25">
      <c r="B12" s="56" t="s">
        <v>101</v>
      </c>
      <c r="C12" s="148">
        <v>0.06</v>
      </c>
      <c r="D12" s="71" t="s">
        <v>190</v>
      </c>
      <c r="E12" s="56"/>
    </row>
    <row r="13" spans="1:5" x14ac:dyDescent="0.25">
      <c r="B13" s="56" t="s">
        <v>188</v>
      </c>
      <c r="C13" s="148">
        <v>0.9</v>
      </c>
      <c r="D13" s="56" t="s">
        <v>189</v>
      </c>
      <c r="E13" s="56"/>
    </row>
    <row r="14" spans="1:5" x14ac:dyDescent="0.25">
      <c r="B14" s="72"/>
      <c r="C14" s="56"/>
      <c r="D14" s="56"/>
      <c r="E14" s="56"/>
    </row>
    <row r="15" spans="1:5" ht="16.5" x14ac:dyDescent="0.3">
      <c r="B15" s="56" t="s">
        <v>170</v>
      </c>
      <c r="C15" s="69">
        <f>+'Formulario de cotización'!C87</f>
        <v>0</v>
      </c>
      <c r="D15" s="56" t="s">
        <v>174</v>
      </c>
    </row>
    <row r="16" spans="1:5" x14ac:dyDescent="0.25">
      <c r="B16" s="56" t="s">
        <v>70</v>
      </c>
      <c r="C16" s="99">
        <f>IF('Formulario de cotización'!C86="Seleccionar",0,'Formulario de cotización'!C86)</f>
        <v>0</v>
      </c>
      <c r="D16" s="56" t="s">
        <v>278</v>
      </c>
    </row>
    <row r="17" spans="1:10" x14ac:dyDescent="0.25">
      <c r="B17" s="63" t="s">
        <v>261</v>
      </c>
      <c r="C17" s="69">
        <f>+'Formulario de cotización'!C88</f>
        <v>0</v>
      </c>
      <c r="D17" s="56" t="s">
        <v>262</v>
      </c>
    </row>
    <row r="20" spans="1:10" x14ac:dyDescent="0.25">
      <c r="B20" s="56" t="s">
        <v>168</v>
      </c>
      <c r="C20" s="70">
        <f>(C8-C15)*C16*C10/1000</f>
        <v>0</v>
      </c>
      <c r="D20" s="56" t="s">
        <v>169</v>
      </c>
    </row>
    <row r="21" spans="1:10" x14ac:dyDescent="0.25">
      <c r="B21" s="71" t="s">
        <v>184</v>
      </c>
      <c r="C21" s="70">
        <f>C20*C9*(1+C17)</f>
        <v>0</v>
      </c>
      <c r="D21" s="71" t="s">
        <v>185</v>
      </c>
    </row>
    <row r="23" spans="1:10" x14ac:dyDescent="0.25">
      <c r="D23" s="10"/>
    </row>
    <row r="24" spans="1:10" x14ac:dyDescent="0.25">
      <c r="A24" s="60" t="s">
        <v>158</v>
      </c>
      <c r="B24" s="60" t="s">
        <v>239</v>
      </c>
    </row>
    <row r="26" spans="1:10" ht="45" x14ac:dyDescent="0.25">
      <c r="B26" s="58" t="s">
        <v>124</v>
      </c>
      <c r="C26" s="58" t="s">
        <v>138</v>
      </c>
      <c r="D26" s="58" t="s">
        <v>143</v>
      </c>
      <c r="E26" s="86" t="s">
        <v>274</v>
      </c>
      <c r="F26" s="86" t="s">
        <v>275</v>
      </c>
      <c r="G26" s="58" t="s">
        <v>258</v>
      </c>
    </row>
    <row r="27" spans="1:10" x14ac:dyDescent="0.25">
      <c r="B27" s="149">
        <v>1</v>
      </c>
      <c r="C27" s="69" t="str">
        <f>+'Formulario de cotización'!E26</f>
        <v>Seleccionar</v>
      </c>
      <c r="D27" s="99">
        <f>+'Formulario de cotización'!I26</f>
        <v>0</v>
      </c>
      <c r="E27" s="143">
        <v>28.515000000000001</v>
      </c>
      <c r="F27" s="143">
        <v>3.5819999999999999</v>
      </c>
      <c r="G27" s="70">
        <f>D27*E27/F27</f>
        <v>0</v>
      </c>
    </row>
    <row r="29" spans="1:10" ht="56.25" customHeight="1" x14ac:dyDescent="0.25">
      <c r="B29" s="165" t="s">
        <v>259</v>
      </c>
      <c r="C29" s="165"/>
      <c r="D29" s="165"/>
      <c r="E29" s="165"/>
      <c r="F29" s="165"/>
      <c r="G29" s="165"/>
      <c r="H29" s="165"/>
      <c r="I29" s="165"/>
      <c r="J29" s="165"/>
    </row>
    <row r="31" spans="1:10" x14ac:dyDescent="0.25">
      <c r="A31" s="60" t="s">
        <v>240</v>
      </c>
      <c r="B31" s="60" t="s">
        <v>241</v>
      </c>
    </row>
    <row r="33" spans="1:14" x14ac:dyDescent="0.25">
      <c r="A33" s="113" t="s">
        <v>252</v>
      </c>
      <c r="B33" s="56" t="s">
        <v>251</v>
      </c>
      <c r="C33" s="63"/>
      <c r="D33" s="63"/>
      <c r="E33" s="63"/>
      <c r="F33" s="63"/>
      <c r="G33" s="56"/>
      <c r="H33" s="56"/>
      <c r="I33" s="56"/>
      <c r="J33" s="151" t="s">
        <v>117</v>
      </c>
      <c r="N33" s="56" t="s">
        <v>248</v>
      </c>
    </row>
    <row r="34" spans="1:14" x14ac:dyDescent="0.25">
      <c r="A34" s="60"/>
      <c r="B34" s="60"/>
      <c r="J34" s="115"/>
      <c r="N34" s="56" t="s">
        <v>117</v>
      </c>
    </row>
    <row r="35" spans="1:14" s="56" customFormat="1" x14ac:dyDescent="0.25">
      <c r="A35" s="114" t="s">
        <v>253</v>
      </c>
      <c r="B35" s="63" t="s">
        <v>250</v>
      </c>
      <c r="C35" s="63"/>
      <c r="D35" s="63"/>
      <c r="E35" s="63"/>
      <c r="F35" s="63"/>
      <c r="J35" s="151" t="s">
        <v>117</v>
      </c>
      <c r="N35" s="56" t="s">
        <v>115</v>
      </c>
    </row>
    <row r="36" spans="1:14" s="56" customFormat="1" x14ac:dyDescent="0.25">
      <c r="A36" s="114"/>
      <c r="B36"/>
      <c r="C36"/>
      <c r="D36"/>
      <c r="E36"/>
      <c r="F36"/>
      <c r="G36"/>
      <c r="H36"/>
      <c r="I36"/>
      <c r="J36"/>
      <c r="K36" s="115"/>
      <c r="N36" s="56" t="s">
        <v>116</v>
      </c>
    </row>
    <row r="37" spans="1:14" x14ac:dyDescent="0.25">
      <c r="A37" s="60" t="s">
        <v>254</v>
      </c>
      <c r="B37" s="60" t="s">
        <v>255</v>
      </c>
    </row>
    <row r="38" spans="1:14" x14ac:dyDescent="0.25">
      <c r="A38" s="72"/>
      <c r="B38" s="72"/>
      <c r="C38" s="72"/>
      <c r="D38" s="72"/>
      <c r="E38" s="72"/>
      <c r="F38" s="72"/>
      <c r="G38" s="72"/>
      <c r="J38" s="159"/>
    </row>
    <row r="39" spans="1:14" ht="42.75" x14ac:dyDescent="0.25">
      <c r="A39" s="72"/>
      <c r="B39" s="65" t="str">
        <f>+'Formulario de cotización'!B25</f>
        <v>ITEMS</v>
      </c>
      <c r="C39" s="65" t="s">
        <v>204</v>
      </c>
      <c r="D39" s="65" t="s">
        <v>256</v>
      </c>
      <c r="E39" s="65" t="s">
        <v>257</v>
      </c>
      <c r="F39" s="72"/>
      <c r="G39" s="72"/>
      <c r="J39" s="67"/>
    </row>
    <row r="40" spans="1:14" x14ac:dyDescent="0.25">
      <c r="A40" s="72"/>
      <c r="B40" s="154">
        <f>+'Formulario de cotización'!B26</f>
        <v>1</v>
      </c>
      <c r="C40" s="153" t="str">
        <f>IFERROR(-E40/D40+1,"")</f>
        <v/>
      </c>
      <c r="D40" s="158">
        <f>+'Simulador VAN Cotización 1'!G58</f>
        <v>0</v>
      </c>
      <c r="E40" s="158">
        <f>+'Simulador VAN Cotización 1'!H58</f>
        <v>0</v>
      </c>
      <c r="F40" s="72"/>
      <c r="G40" s="72"/>
      <c r="J40" s="67"/>
    </row>
  </sheetData>
  <sheetProtection algorithmName="SHA-512" hashValue="zDibhFpcna1Qr8x6kwanINZ8Uz12k5IbOesxT6fyMuKkuit9IZgmavV60IqTytQkMpaoWxM/AaEvbozZq0S7Iw==" saltValue="GTHMO3UPURvdNxafdPN+Bw==" spinCount="100000" sheet="1" objects="1" scenarios="1"/>
  <mergeCells count="1">
    <mergeCell ref="B29:J29"/>
  </mergeCells>
  <dataValidations count="1">
    <dataValidation type="list" allowBlank="1" showInputMessage="1" showErrorMessage="1" sqref="J33 J35">
      <formula1>$N$34:$N$36</formula1>
    </dataValidation>
  </dataValidations>
  <hyperlinks>
    <hyperlink ref="E26" r:id="rId1" display="Cotización MC/UI a la fecha de la evaluación"/>
    <hyperlink ref="F26" r:id="rId2" display="Cotización MC/UI a la fecha de la evaluación"/>
  </hyperlinks>
  <pageMargins left="0.7" right="0.7" top="0.75" bottom="0.75" header="0.3" footer="0.3"/>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53"/>
  <sheetViews>
    <sheetView workbookViewId="0"/>
  </sheetViews>
  <sheetFormatPr baseColWidth="10" defaultRowHeight="15" outlineLevelCol="1" x14ac:dyDescent="0.25"/>
  <cols>
    <col min="2" max="2" width="18.140625" customWidth="1"/>
    <col min="3" max="3" width="16.140625" customWidth="1"/>
    <col min="4" max="4" width="17.5703125" customWidth="1"/>
    <col min="5" max="5" width="27.42578125" customWidth="1"/>
    <col min="6" max="6" width="17" customWidth="1"/>
    <col min="7" max="7" width="17.42578125" customWidth="1"/>
    <col min="14" max="14" width="0" hidden="1" customWidth="1" outlineLevel="1"/>
    <col min="15" max="15" width="11.42578125" collapsed="1"/>
  </cols>
  <sheetData>
    <row r="2" spans="1:5" ht="18.75" x14ac:dyDescent="0.3">
      <c r="B2" s="62" t="s">
        <v>175</v>
      </c>
    </row>
    <row r="4" spans="1:5" x14ac:dyDescent="0.25">
      <c r="A4" s="60" t="s">
        <v>159</v>
      </c>
      <c r="B4" s="60" t="s">
        <v>210</v>
      </c>
      <c r="C4" s="56"/>
      <c r="D4" s="56"/>
    </row>
    <row r="5" spans="1:5" x14ac:dyDescent="0.25">
      <c r="B5" s="56"/>
      <c r="C5" s="56"/>
      <c r="D5" s="56"/>
    </row>
    <row r="6" spans="1:5" x14ac:dyDescent="0.25">
      <c r="A6" s="60" t="s">
        <v>179</v>
      </c>
      <c r="B6" s="60" t="s">
        <v>180</v>
      </c>
    </row>
    <row r="8" spans="1:5" ht="16.5" x14ac:dyDescent="0.3">
      <c r="B8" s="56" t="s">
        <v>177</v>
      </c>
      <c r="C8" s="145">
        <v>149.6</v>
      </c>
      <c r="D8" s="56" t="s">
        <v>211</v>
      </c>
    </row>
    <row r="9" spans="1:5" x14ac:dyDescent="0.25">
      <c r="B9" s="56" t="s">
        <v>178</v>
      </c>
      <c r="C9" s="146">
        <v>1.7081999999999999</v>
      </c>
      <c r="D9" s="56" t="s">
        <v>181</v>
      </c>
    </row>
    <row r="10" spans="1:5" x14ac:dyDescent="0.25">
      <c r="B10" s="56" t="s">
        <v>182</v>
      </c>
      <c r="C10" s="85">
        <v>4380</v>
      </c>
      <c r="D10" s="56" t="s">
        <v>183</v>
      </c>
      <c r="E10" s="56"/>
    </row>
    <row r="11" spans="1:5" x14ac:dyDescent="0.25">
      <c r="B11" s="56" t="s">
        <v>71</v>
      </c>
      <c r="C11" s="147">
        <v>0.54</v>
      </c>
      <c r="D11" s="56" t="s">
        <v>72</v>
      </c>
    </row>
    <row r="12" spans="1:5" x14ac:dyDescent="0.25">
      <c r="B12" s="56" t="s">
        <v>101</v>
      </c>
      <c r="C12" s="148">
        <v>0.06</v>
      </c>
      <c r="D12" s="71" t="s">
        <v>190</v>
      </c>
      <c r="E12" s="56"/>
    </row>
    <row r="13" spans="1:5" x14ac:dyDescent="0.25">
      <c r="B13" s="56" t="s">
        <v>188</v>
      </c>
      <c r="C13" s="148">
        <v>0.9</v>
      </c>
      <c r="D13" s="56" t="s">
        <v>212</v>
      </c>
      <c r="E13" s="56"/>
    </row>
    <row r="14" spans="1:5" x14ac:dyDescent="0.25">
      <c r="B14" s="72"/>
      <c r="C14" s="56"/>
      <c r="D14" s="56"/>
      <c r="E14" s="56"/>
    </row>
    <row r="15" spans="1:5" ht="16.5" x14ac:dyDescent="0.3">
      <c r="B15" s="56" t="s">
        <v>170</v>
      </c>
      <c r="C15" s="69">
        <f>+'Formulario de cotización'!C95</f>
        <v>0</v>
      </c>
      <c r="D15" s="56" t="s">
        <v>173</v>
      </c>
    </row>
    <row r="16" spans="1:5" x14ac:dyDescent="0.25">
      <c r="B16" s="56" t="s">
        <v>70</v>
      </c>
      <c r="C16" s="99">
        <f>IF('Formulario de cotización'!C94="Seleccionar",0,'Formulario de cotización'!C94)</f>
        <v>0</v>
      </c>
      <c r="D16" s="56" t="s">
        <v>279</v>
      </c>
    </row>
    <row r="17" spans="1:7" x14ac:dyDescent="0.25">
      <c r="B17" s="56" t="s">
        <v>261</v>
      </c>
      <c r="C17" s="69">
        <f>+'Formulario de cotización'!C96</f>
        <v>0</v>
      </c>
      <c r="D17" s="56" t="s">
        <v>262</v>
      </c>
    </row>
    <row r="20" spans="1:7" x14ac:dyDescent="0.25">
      <c r="B20" s="56" t="s">
        <v>168</v>
      </c>
      <c r="C20" s="70">
        <f>(C8-C15)*C16*C10/1000</f>
        <v>0</v>
      </c>
      <c r="D20" s="56" t="s">
        <v>169</v>
      </c>
    </row>
    <row r="21" spans="1:7" x14ac:dyDescent="0.25">
      <c r="B21" s="71" t="s">
        <v>184</v>
      </c>
      <c r="C21" s="70">
        <f>C20*C9*(1+C17)</f>
        <v>0</v>
      </c>
      <c r="D21" s="71" t="s">
        <v>185</v>
      </c>
    </row>
    <row r="23" spans="1:7" x14ac:dyDescent="0.25">
      <c r="A23" s="60" t="s">
        <v>158</v>
      </c>
      <c r="B23" s="60" t="s">
        <v>239</v>
      </c>
    </row>
    <row r="25" spans="1:7" ht="45" x14ac:dyDescent="0.25">
      <c r="B25" s="58" t="s">
        <v>124</v>
      </c>
      <c r="C25" s="58" t="s">
        <v>138</v>
      </c>
      <c r="D25" s="58" t="s">
        <v>143</v>
      </c>
      <c r="E25" s="86" t="s">
        <v>274</v>
      </c>
      <c r="F25" s="86" t="s">
        <v>275</v>
      </c>
      <c r="G25" s="58" t="s">
        <v>258</v>
      </c>
    </row>
    <row r="26" spans="1:7" x14ac:dyDescent="0.25">
      <c r="B26" s="149">
        <f>+'Formulario de cotización'!B53</f>
        <v>1</v>
      </c>
      <c r="C26" s="69" t="str">
        <f>+'Formulario de cotización'!E53</f>
        <v>Seleccionar</v>
      </c>
      <c r="D26" s="99">
        <f>+'Formulario de cotización'!I53</f>
        <v>0</v>
      </c>
      <c r="E26" s="151">
        <v>28.515000000000001</v>
      </c>
      <c r="F26" s="151">
        <v>3.5819999999999999</v>
      </c>
      <c r="G26" s="70">
        <f>D26*E26/F26</f>
        <v>0</v>
      </c>
    </row>
    <row r="27" spans="1:7" x14ac:dyDescent="0.25">
      <c r="B27" s="149">
        <f>+'Formulario de cotización'!B54</f>
        <v>2</v>
      </c>
      <c r="C27" s="69" t="str">
        <f>+'Formulario de cotización'!E54</f>
        <v>Seleccionar</v>
      </c>
      <c r="D27" s="99">
        <f>+'Formulario de cotización'!I54</f>
        <v>0</v>
      </c>
      <c r="E27" s="151">
        <v>28.515000000000001</v>
      </c>
      <c r="F27" s="151">
        <v>3.5819999999999999</v>
      </c>
      <c r="G27" s="70">
        <f t="shared" ref="G27:G32" si="0">D27*E27/F27</f>
        <v>0</v>
      </c>
    </row>
    <row r="28" spans="1:7" x14ac:dyDescent="0.25">
      <c r="B28" s="149">
        <f>+'Formulario de cotización'!B55</f>
        <v>3</v>
      </c>
      <c r="C28" s="69" t="str">
        <f>+'Formulario de cotización'!E55</f>
        <v>Seleccionar</v>
      </c>
      <c r="D28" s="99">
        <f>+'Formulario de cotización'!I55</f>
        <v>0</v>
      </c>
      <c r="E28" s="151">
        <v>28.515000000000001</v>
      </c>
      <c r="F28" s="151">
        <v>3.5819999999999999</v>
      </c>
      <c r="G28" s="70">
        <f t="shared" si="0"/>
        <v>0</v>
      </c>
    </row>
    <row r="29" spans="1:7" x14ac:dyDescent="0.25">
      <c r="B29" s="149">
        <f>+'Formulario de cotización'!B56</f>
        <v>4</v>
      </c>
      <c r="C29" s="69" t="str">
        <f>+'Formulario de cotización'!E56</f>
        <v>Seleccionar</v>
      </c>
      <c r="D29" s="99">
        <f>+'Formulario de cotización'!I56</f>
        <v>0</v>
      </c>
      <c r="E29" s="151">
        <v>28.515000000000001</v>
      </c>
      <c r="F29" s="151">
        <v>3.5819999999999999</v>
      </c>
      <c r="G29" s="70">
        <f t="shared" si="0"/>
        <v>0</v>
      </c>
    </row>
    <row r="30" spans="1:7" x14ac:dyDescent="0.25">
      <c r="B30" s="149">
        <f>+'Formulario de cotización'!B57</f>
        <v>5</v>
      </c>
      <c r="C30" s="69" t="str">
        <f>+'Formulario de cotización'!E57</f>
        <v>Seleccionar</v>
      </c>
      <c r="D30" s="99">
        <f>+'Formulario de cotización'!I57</f>
        <v>0</v>
      </c>
      <c r="E30" s="151">
        <v>28.515000000000001</v>
      </c>
      <c r="F30" s="151">
        <v>3.5819999999999999</v>
      </c>
      <c r="G30" s="70">
        <f t="shared" si="0"/>
        <v>0</v>
      </c>
    </row>
    <row r="31" spans="1:7" x14ac:dyDescent="0.25">
      <c r="B31" s="149">
        <f>+'Formulario de cotización'!B58</f>
        <v>6</v>
      </c>
      <c r="C31" s="69" t="str">
        <f>+'Formulario de cotización'!E58</f>
        <v>Seleccionar</v>
      </c>
      <c r="D31" s="99">
        <f>+'Formulario de cotización'!I58</f>
        <v>0</v>
      </c>
      <c r="E31" s="151">
        <v>28.515000000000001</v>
      </c>
      <c r="F31" s="151">
        <v>3.5819999999999999</v>
      </c>
      <c r="G31" s="70">
        <f t="shared" si="0"/>
        <v>0</v>
      </c>
    </row>
    <row r="32" spans="1:7" x14ac:dyDescent="0.25">
      <c r="B32" s="149">
        <f>+'Formulario de cotización'!B59</f>
        <v>7</v>
      </c>
      <c r="C32" s="69" t="str">
        <f>+'Formulario de cotización'!E59</f>
        <v>Seleccionar</v>
      </c>
      <c r="D32" s="99">
        <f>+'Formulario de cotización'!I59</f>
        <v>0</v>
      </c>
      <c r="E32" s="151">
        <v>1</v>
      </c>
      <c r="F32" s="151">
        <v>3.5819999999999999</v>
      </c>
      <c r="G32" s="70">
        <f t="shared" si="0"/>
        <v>0</v>
      </c>
    </row>
    <row r="33" spans="1:14" x14ac:dyDescent="0.25">
      <c r="B33" s="162" t="s">
        <v>127</v>
      </c>
      <c r="C33" s="163"/>
      <c r="D33" s="163"/>
      <c r="E33" s="163"/>
      <c r="F33" s="164"/>
      <c r="G33" s="150">
        <f>SUM(G26:G32)</f>
        <v>0</v>
      </c>
    </row>
    <row r="34" spans="1:14" x14ac:dyDescent="0.25">
      <c r="K34" s="17"/>
    </row>
    <row r="35" spans="1:14" ht="56.25" customHeight="1" x14ac:dyDescent="0.25">
      <c r="B35" s="165" t="s">
        <v>259</v>
      </c>
      <c r="C35" s="165"/>
      <c r="D35" s="165"/>
      <c r="E35" s="165"/>
      <c r="F35" s="165"/>
      <c r="G35" s="165"/>
      <c r="H35" s="165"/>
      <c r="I35" s="165"/>
      <c r="J35" s="165"/>
      <c r="K35" s="17"/>
    </row>
    <row r="37" spans="1:14" x14ac:dyDescent="0.25">
      <c r="A37" s="60" t="s">
        <v>240</v>
      </c>
      <c r="B37" s="60" t="s">
        <v>241</v>
      </c>
      <c r="K37" s="17"/>
    </row>
    <row r="38" spans="1:14" x14ac:dyDescent="0.25">
      <c r="K38" s="115"/>
    </row>
    <row r="39" spans="1:14" x14ac:dyDescent="0.25">
      <c r="A39" s="113" t="s">
        <v>252</v>
      </c>
      <c r="B39" s="56" t="s">
        <v>251</v>
      </c>
      <c r="C39" s="63"/>
      <c r="D39" s="63"/>
      <c r="E39" s="63"/>
      <c r="F39" s="63"/>
      <c r="G39" s="56"/>
      <c r="H39" s="56"/>
      <c r="I39" s="56"/>
      <c r="J39" s="56"/>
      <c r="K39" s="151" t="s">
        <v>117</v>
      </c>
      <c r="N39" s="56" t="s">
        <v>248</v>
      </c>
    </row>
    <row r="40" spans="1:14" x14ac:dyDescent="0.25">
      <c r="A40" s="60"/>
      <c r="B40" s="60"/>
      <c r="K40" s="115"/>
      <c r="N40" s="56" t="s">
        <v>117</v>
      </c>
    </row>
    <row r="41" spans="1:14" s="56" customFormat="1" x14ac:dyDescent="0.25">
      <c r="A41" s="114" t="s">
        <v>253</v>
      </c>
      <c r="B41" s="63" t="s">
        <v>250</v>
      </c>
      <c r="C41" s="63"/>
      <c r="D41" s="63"/>
      <c r="E41" s="63"/>
      <c r="F41" s="63"/>
      <c r="K41" s="151" t="s">
        <v>117</v>
      </c>
      <c r="N41" s="56" t="s">
        <v>115</v>
      </c>
    </row>
    <row r="42" spans="1:14" s="56" customFormat="1" x14ac:dyDescent="0.25">
      <c r="A42" s="114"/>
      <c r="B42"/>
      <c r="C42"/>
      <c r="D42"/>
      <c r="E42"/>
      <c r="F42"/>
      <c r="G42"/>
      <c r="H42"/>
      <c r="I42"/>
      <c r="J42"/>
      <c r="K42" s="115"/>
      <c r="N42" s="56" t="s">
        <v>116</v>
      </c>
    </row>
    <row r="43" spans="1:14" x14ac:dyDescent="0.25">
      <c r="A43" s="60" t="s">
        <v>254</v>
      </c>
      <c r="B43" s="60" t="s">
        <v>255</v>
      </c>
      <c r="K43" s="17"/>
    </row>
    <row r="44" spans="1:14" x14ac:dyDescent="0.25">
      <c r="A44" s="72"/>
      <c r="B44" s="72"/>
      <c r="C44" s="72"/>
      <c r="D44" s="72"/>
      <c r="E44" s="72"/>
      <c r="F44" s="72"/>
      <c r="G44" s="72"/>
      <c r="K44" s="17"/>
    </row>
    <row r="45" spans="1:14" ht="42.75" x14ac:dyDescent="0.25">
      <c r="A45" s="72"/>
      <c r="B45" s="58" t="s">
        <v>124</v>
      </c>
      <c r="C45" s="65" t="s">
        <v>204</v>
      </c>
      <c r="D45" s="65" t="s">
        <v>256</v>
      </c>
      <c r="E45" s="65" t="s">
        <v>257</v>
      </c>
      <c r="F45" s="72"/>
      <c r="G45" s="63"/>
      <c r="K45" s="17"/>
    </row>
    <row r="46" spans="1:14" x14ac:dyDescent="0.25">
      <c r="A46" s="72"/>
      <c r="B46" s="149">
        <f t="shared" ref="B46:B53" si="1">+B26</f>
        <v>1</v>
      </c>
      <c r="C46" s="153" t="str">
        <f>IFERROR(-E46/D46+1,"")</f>
        <v/>
      </c>
      <c r="D46" s="99">
        <f>+'Simulador VAN Cotización 2'!G59</f>
        <v>0</v>
      </c>
      <c r="E46" s="99">
        <f>+'Simulador VAN Cotización 2'!H59</f>
        <v>0</v>
      </c>
      <c r="F46" s="72"/>
      <c r="G46" s="72"/>
      <c r="K46" s="17"/>
    </row>
    <row r="47" spans="1:14" x14ac:dyDescent="0.25">
      <c r="B47" s="149">
        <f t="shared" si="1"/>
        <v>2</v>
      </c>
      <c r="C47" s="153" t="str">
        <f t="shared" ref="C47:C52" si="2">IFERROR(-E47/D47+1,"")</f>
        <v/>
      </c>
      <c r="D47" s="99">
        <f>+'Simulador VAN Cotización 2'!G60</f>
        <v>0</v>
      </c>
      <c r="E47" s="99">
        <f>+'Simulador VAN Cotización 2'!H60</f>
        <v>0</v>
      </c>
    </row>
    <row r="48" spans="1:14" x14ac:dyDescent="0.25">
      <c r="B48" s="149">
        <f t="shared" si="1"/>
        <v>3</v>
      </c>
      <c r="C48" s="153" t="str">
        <f t="shared" si="2"/>
        <v/>
      </c>
      <c r="D48" s="99">
        <f>+'Simulador VAN Cotización 2'!G61</f>
        <v>0</v>
      </c>
      <c r="E48" s="99">
        <f>+'Simulador VAN Cotización 2'!H61</f>
        <v>0</v>
      </c>
    </row>
    <row r="49" spans="2:5" x14ac:dyDescent="0.25">
      <c r="B49" s="149">
        <f t="shared" si="1"/>
        <v>4</v>
      </c>
      <c r="C49" s="153" t="str">
        <f t="shared" si="2"/>
        <v/>
      </c>
      <c r="D49" s="99">
        <f>+'Simulador VAN Cotización 2'!G62</f>
        <v>0</v>
      </c>
      <c r="E49" s="99">
        <f>+'Simulador VAN Cotización 2'!H62</f>
        <v>0</v>
      </c>
    </row>
    <row r="50" spans="2:5" x14ac:dyDescent="0.25">
      <c r="B50" s="149">
        <f t="shared" si="1"/>
        <v>5</v>
      </c>
      <c r="C50" s="153" t="str">
        <f t="shared" si="2"/>
        <v/>
      </c>
      <c r="D50" s="99">
        <f>+'Simulador VAN Cotización 2'!G63</f>
        <v>0</v>
      </c>
      <c r="E50" s="99">
        <f>+'Simulador VAN Cotización 2'!H63</f>
        <v>0</v>
      </c>
    </row>
    <row r="51" spans="2:5" x14ac:dyDescent="0.25">
      <c r="B51" s="149">
        <f t="shared" si="1"/>
        <v>6</v>
      </c>
      <c r="C51" s="153" t="str">
        <f t="shared" si="2"/>
        <v/>
      </c>
      <c r="D51" s="99">
        <f>+'Simulador VAN Cotización 2'!G64</f>
        <v>0</v>
      </c>
      <c r="E51" s="99">
        <f>+'Simulador VAN Cotización 2'!H64</f>
        <v>0</v>
      </c>
    </row>
    <row r="52" spans="2:5" x14ac:dyDescent="0.25">
      <c r="B52" s="149">
        <f t="shared" si="1"/>
        <v>7</v>
      </c>
      <c r="C52" s="153" t="str">
        <f t="shared" si="2"/>
        <v/>
      </c>
      <c r="D52" s="99">
        <f>+'Simulador VAN Cotización 2'!G65</f>
        <v>0</v>
      </c>
      <c r="E52" s="99">
        <f>+'Simulador VAN Cotización 2'!H65</f>
        <v>0</v>
      </c>
    </row>
    <row r="53" spans="2:5" x14ac:dyDescent="0.25">
      <c r="B53" s="166" t="str">
        <f t="shared" si="1"/>
        <v>Total</v>
      </c>
      <c r="C53" s="166"/>
      <c r="D53" s="152">
        <f>+'Simulador VAN Cotización 2'!G66</f>
        <v>0</v>
      </c>
      <c r="E53" s="152">
        <f>+'Simulador VAN Cotización 2'!H66</f>
        <v>0</v>
      </c>
    </row>
  </sheetData>
  <sheetProtection algorithmName="SHA-512" hashValue="ncS3RKfM5uvHwCY0SjFUSilzhMJMQ/ZQ1IyvwyWvgol/XPPWit6cwk935Z7AFk5vCsPYw6gbI4frhnJFkwFdtQ==" saltValue="ihP6kgN31MIk34ZGwokgMQ==" spinCount="100000" sheet="1" objects="1" scenarios="1"/>
  <mergeCells count="3">
    <mergeCell ref="B33:F33"/>
    <mergeCell ref="B53:C53"/>
    <mergeCell ref="B35:J35"/>
  </mergeCells>
  <dataValidations count="1">
    <dataValidation type="list" allowBlank="1" showInputMessage="1" showErrorMessage="1" sqref="K39 K41">
      <formula1>$N$40:$N$42</formula1>
    </dataValidation>
  </dataValidations>
  <hyperlinks>
    <hyperlink ref="E25" r:id="rId1" display="Cotización MC/UI a la fecha de la evaluación"/>
    <hyperlink ref="F25" r:id="rId2" display="Cotización MC/UI a la fecha de la evaluación"/>
  </hyperlinks>
  <pageMargins left="0.7" right="0.7" top="0.75" bottom="0.75" header="0.3" footer="0.3"/>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87"/>
  <sheetViews>
    <sheetView workbookViewId="0"/>
  </sheetViews>
  <sheetFormatPr baseColWidth="10" defaultRowHeight="15" outlineLevelRow="1" x14ac:dyDescent="0.25"/>
  <cols>
    <col min="1" max="1" width="11.42578125" style="61"/>
    <col min="2" max="2" width="64.5703125" style="61" customWidth="1"/>
    <col min="3" max="3" width="7.7109375" style="75" customWidth="1"/>
    <col min="4" max="4" width="17.5703125" style="61" bestFit="1" customWidth="1"/>
    <col min="5" max="17" width="15.5703125" style="61" bestFit="1" customWidth="1"/>
    <col min="18" max="16384" width="11.42578125" style="61"/>
  </cols>
  <sheetData>
    <row r="2" spans="1:19" ht="20.25" x14ac:dyDescent="0.3">
      <c r="B2" s="73" t="s">
        <v>273</v>
      </c>
      <c r="C2" s="125"/>
    </row>
    <row r="3" spans="1:19" ht="15.75" x14ac:dyDescent="0.25">
      <c r="B3" s="112" t="s">
        <v>187</v>
      </c>
      <c r="C3" s="126"/>
    </row>
    <row r="4" spans="1:19" ht="15.75" x14ac:dyDescent="0.25">
      <c r="C4" s="127"/>
    </row>
    <row r="5" spans="1:19" ht="15.75" x14ac:dyDescent="0.25">
      <c r="B5" s="112"/>
      <c r="C5" s="127"/>
    </row>
    <row r="6" spans="1:19" s="75" customFormat="1" x14ac:dyDescent="0.25">
      <c r="B6" s="76" t="s">
        <v>16</v>
      </c>
      <c r="C6" s="77"/>
      <c r="D6" s="77">
        <v>1</v>
      </c>
      <c r="E6" s="77">
        <f>+D6+1</f>
        <v>2</v>
      </c>
      <c r="F6" s="77">
        <f t="shared" ref="F6:Q6" si="0">+E6+1</f>
        <v>3</v>
      </c>
      <c r="G6" s="77">
        <f t="shared" si="0"/>
        <v>4</v>
      </c>
      <c r="H6" s="77">
        <f t="shared" si="0"/>
        <v>5</v>
      </c>
      <c r="I6" s="77">
        <f t="shared" si="0"/>
        <v>6</v>
      </c>
      <c r="J6" s="77">
        <f t="shared" si="0"/>
        <v>7</v>
      </c>
      <c r="K6" s="77">
        <f t="shared" si="0"/>
        <v>8</v>
      </c>
      <c r="L6" s="77">
        <f t="shared" si="0"/>
        <v>9</v>
      </c>
      <c r="M6" s="77">
        <f t="shared" si="0"/>
        <v>10</v>
      </c>
      <c r="N6" s="77">
        <f t="shared" si="0"/>
        <v>11</v>
      </c>
      <c r="O6" s="77">
        <f t="shared" si="0"/>
        <v>12</v>
      </c>
      <c r="P6" s="77">
        <f t="shared" si="0"/>
        <v>13</v>
      </c>
      <c r="Q6" s="77">
        <f t="shared" si="0"/>
        <v>14</v>
      </c>
    </row>
    <row r="8" spans="1:19" x14ac:dyDescent="0.25">
      <c r="A8" s="79" t="s">
        <v>159</v>
      </c>
      <c r="B8" s="79" t="s">
        <v>263</v>
      </c>
      <c r="C8" s="128"/>
    </row>
    <row r="9" spans="1:19" x14ac:dyDescent="0.25">
      <c r="A9" s="79"/>
    </row>
    <row r="10" spans="1:19" s="79" customFormat="1" x14ac:dyDescent="0.25">
      <c r="B10" s="61" t="s">
        <v>265</v>
      </c>
      <c r="C10" s="75" t="s">
        <v>103</v>
      </c>
      <c r="D10" s="78">
        <f>'Datos Cotización 1'!$C$21*IF(D$6=1,'Datos Cotización 1'!$C$11,1)</f>
        <v>0</v>
      </c>
      <c r="E10" s="78">
        <f>'Datos Cotización 1'!$C$21*IF(E$6=1,'Datos Cotización 1'!$C$11,1)</f>
        <v>0</v>
      </c>
      <c r="F10" s="78">
        <f>'Datos Cotización 1'!$C$21*IF(F$6=1,'Datos Cotización 1'!$C$11,1)</f>
        <v>0</v>
      </c>
      <c r="G10" s="78">
        <f>'Datos Cotización 1'!$C$21*IF(G$6=1,'Datos Cotización 1'!$C$11,1)</f>
        <v>0</v>
      </c>
      <c r="H10" s="78">
        <f>'Datos Cotización 1'!$C$21*IF(H$6=1,'Datos Cotización 1'!$C$11,1)</f>
        <v>0</v>
      </c>
      <c r="I10" s="78">
        <f>'Datos Cotización 1'!$C$21*IF(I$6=1,'Datos Cotización 1'!$C$11,1)</f>
        <v>0</v>
      </c>
      <c r="J10" s="78">
        <f>'Datos Cotización 1'!$C$21*IF(J$6=1,'Datos Cotización 1'!$C$11,1)</f>
        <v>0</v>
      </c>
      <c r="K10" s="78">
        <f>'Datos Cotización 1'!$C$21*IF(K$6=1,'Datos Cotización 1'!$C$11,1)</f>
        <v>0</v>
      </c>
      <c r="L10" s="78">
        <f>'Datos Cotización 1'!$C$21*IF(L$6=1,'Datos Cotización 1'!$C$11,1)</f>
        <v>0</v>
      </c>
      <c r="M10" s="78">
        <f>'Datos Cotización 1'!$C$21*IF(M$6=1,'Datos Cotización 1'!$C$11,1)</f>
        <v>0</v>
      </c>
      <c r="N10" s="78">
        <f>'Datos Cotización 1'!$C$21*IF(N$6=1,'Datos Cotización 1'!$C$11,1)</f>
        <v>0</v>
      </c>
      <c r="O10" s="78">
        <f>'Datos Cotización 1'!$C$21*IF(O$6=1,'Datos Cotización 1'!$C$11,1)</f>
        <v>0</v>
      </c>
      <c r="P10" s="78">
        <f>'Datos Cotización 1'!$C$21*IF(P$6=1,'Datos Cotización 1'!$C$11,1)</f>
        <v>0</v>
      </c>
      <c r="Q10" s="78">
        <f>'Datos Cotización 1'!$C$21*IF(Q$6=1,'Datos Cotización 1'!$C$11,1)</f>
        <v>0</v>
      </c>
      <c r="R10" s="119"/>
      <c r="S10" s="119"/>
    </row>
    <row r="11" spans="1:19" x14ac:dyDescent="0.25">
      <c r="A11" s="79"/>
    </row>
    <row r="12" spans="1:19" x14ac:dyDescent="0.25">
      <c r="A12" s="79" t="s">
        <v>160</v>
      </c>
      <c r="B12" s="79" t="s">
        <v>264</v>
      </c>
      <c r="C12" s="128"/>
    </row>
    <row r="13" spans="1:19" x14ac:dyDescent="0.25">
      <c r="A13" s="79"/>
    </row>
    <row r="14" spans="1:19" x14ac:dyDescent="0.25">
      <c r="A14" s="124" t="s">
        <v>161</v>
      </c>
      <c r="B14" s="79" t="s">
        <v>266</v>
      </c>
      <c r="C14" s="128"/>
      <c r="D14" s="80"/>
      <c r="E14" s="80"/>
      <c r="F14" s="80"/>
      <c r="G14" s="80"/>
      <c r="H14" s="80"/>
      <c r="I14" s="80"/>
      <c r="J14" s="80"/>
      <c r="K14" s="80"/>
      <c r="L14" s="80"/>
      <c r="M14" s="80"/>
      <c r="N14" s="80"/>
      <c r="O14" s="80"/>
      <c r="P14" s="80"/>
      <c r="Q14" s="80"/>
    </row>
    <row r="15" spans="1:19" x14ac:dyDescent="0.25">
      <c r="E15" s="81"/>
    </row>
    <row r="16" spans="1:19" x14ac:dyDescent="0.25">
      <c r="B16" s="61" t="s">
        <v>196</v>
      </c>
      <c r="C16" s="75" t="s">
        <v>103</v>
      </c>
      <c r="D16" s="82">
        <f>D10*'Datos Cotización 1'!$C$13</f>
        <v>0</v>
      </c>
      <c r="E16" s="82">
        <f>E10*'Datos Cotización 1'!$C$13</f>
        <v>0</v>
      </c>
      <c r="F16" s="82">
        <f>F10*'Datos Cotización 1'!$C$13</f>
        <v>0</v>
      </c>
      <c r="G16" s="82">
        <f>G10*'Datos Cotización 1'!$C$13</f>
        <v>0</v>
      </c>
      <c r="H16" s="82">
        <f>H10*'Datos Cotización 1'!$C$13</f>
        <v>0</v>
      </c>
      <c r="I16" s="82">
        <f>I10*'Datos Cotización 1'!$C$13</f>
        <v>0</v>
      </c>
      <c r="J16" s="82">
        <f>J10*'Datos Cotización 1'!$C$13</f>
        <v>0</v>
      </c>
      <c r="K16" s="82">
        <f>K10*'Datos Cotización 1'!$C$13</f>
        <v>0</v>
      </c>
      <c r="L16" s="82">
        <f>L10*'Datos Cotización 1'!$C$13</f>
        <v>0</v>
      </c>
      <c r="M16" s="82">
        <f>M10*'Datos Cotización 1'!$C$13</f>
        <v>0</v>
      </c>
      <c r="N16" s="82">
        <f>N10*'Datos Cotización 1'!$C$13</f>
        <v>0</v>
      </c>
      <c r="O16" s="82">
        <f>O10*'Datos Cotización 1'!$C$13</f>
        <v>0</v>
      </c>
      <c r="P16" s="82">
        <f>P10*'Datos Cotización 1'!$C$13</f>
        <v>0</v>
      </c>
      <c r="Q16" s="82">
        <f>Q10*'Datos Cotización 1'!$C$13</f>
        <v>0</v>
      </c>
    </row>
    <row r="17" spans="1:17" x14ac:dyDescent="0.25">
      <c r="B17" s="61" t="s">
        <v>197</v>
      </c>
      <c r="C17" s="75" t="s">
        <v>103</v>
      </c>
      <c r="D17" s="78">
        <f>NPV('Datos Cotización 1'!$C$12,'Simulador VAN Cotización 1'!$D16:D16)</f>
        <v>0</v>
      </c>
      <c r="E17" s="78">
        <f>NPV('Datos Cotización 1'!$C$12,'Simulador VAN Cotización 1'!$D16:E16)</f>
        <v>0</v>
      </c>
      <c r="F17" s="78">
        <f>NPV('Datos Cotización 1'!$C$12,'Simulador VAN Cotización 1'!$D16:F16)</f>
        <v>0</v>
      </c>
      <c r="G17" s="78">
        <f>NPV('Datos Cotización 1'!$C$12,'Simulador VAN Cotización 1'!$D16:G16)</f>
        <v>0</v>
      </c>
      <c r="H17" s="78">
        <f>NPV('Datos Cotización 1'!$C$12,'Simulador VAN Cotización 1'!$D16:H16)</f>
        <v>0</v>
      </c>
      <c r="I17" s="78">
        <f>NPV('Datos Cotización 1'!$C$12,'Simulador VAN Cotización 1'!$D16:I16)</f>
        <v>0</v>
      </c>
      <c r="J17" s="78">
        <f>NPV('Datos Cotización 1'!$C$12,'Simulador VAN Cotización 1'!$D16:J16)</f>
        <v>0</v>
      </c>
      <c r="K17" s="78">
        <f>NPV('Datos Cotización 1'!$C$12,'Simulador VAN Cotización 1'!$D16:K16)</f>
        <v>0</v>
      </c>
      <c r="L17" s="78">
        <f>NPV('Datos Cotización 1'!$C$12,'Simulador VAN Cotización 1'!$D16:L16)</f>
        <v>0</v>
      </c>
      <c r="M17" s="78">
        <f>NPV('Datos Cotización 1'!$C$12,'Simulador VAN Cotización 1'!$D16:M16)</f>
        <v>0</v>
      </c>
      <c r="N17" s="78">
        <f>NPV('Datos Cotización 1'!$C$12,'Simulador VAN Cotización 1'!$D16:N16)</f>
        <v>0</v>
      </c>
      <c r="O17" s="78">
        <f>NPV('Datos Cotización 1'!$C$12,'Simulador VAN Cotización 1'!$D16:O16)</f>
        <v>0</v>
      </c>
      <c r="P17" s="78">
        <f>NPV('Datos Cotización 1'!$C$12,'Simulador VAN Cotización 1'!$D16:P16)</f>
        <v>0</v>
      </c>
      <c r="Q17" s="78">
        <f>NPV('Datos Cotización 1'!$C$12,'Simulador VAN Cotización 1'!$D16:Q16)</f>
        <v>0</v>
      </c>
    </row>
    <row r="18" spans="1:17" x14ac:dyDescent="0.25">
      <c r="D18" s="78"/>
      <c r="E18" s="78"/>
      <c r="F18" s="78"/>
      <c r="G18" s="78"/>
      <c r="H18" s="78"/>
      <c r="I18" s="78"/>
      <c r="J18" s="78"/>
      <c r="K18" s="78"/>
      <c r="L18" s="78"/>
      <c r="M18" s="78"/>
      <c r="N18" s="78"/>
      <c r="O18" s="78"/>
      <c r="P18" s="78"/>
      <c r="Q18" s="78"/>
    </row>
    <row r="19" spans="1:17" x14ac:dyDescent="0.25">
      <c r="B19" s="61" t="s">
        <v>191</v>
      </c>
      <c r="C19" s="75" t="s">
        <v>103</v>
      </c>
      <c r="D19" s="78">
        <f>+'Datos Cotización 1'!G27</f>
        <v>0</v>
      </c>
      <c r="E19" s="81"/>
    </row>
    <row r="20" spans="1:17" x14ac:dyDescent="0.25">
      <c r="D20" s="78"/>
      <c r="E20" s="81"/>
    </row>
    <row r="21" spans="1:17" x14ac:dyDescent="0.25">
      <c r="B21" s="61" t="s">
        <v>267</v>
      </c>
      <c r="D21" s="75">
        <f>IF(D17&lt;=$D$19,1,IF(AND(B17&lt;$D$19,D17&gt;$D$19),1,0))</f>
        <v>1</v>
      </c>
      <c r="E21" s="75">
        <f t="shared" ref="E21:J21" si="1">IF(E17&lt;=$D$19,1,IF(AND(D17&lt;$D$19,E17&gt;$D$19),1,0))</f>
        <v>1</v>
      </c>
      <c r="F21" s="75">
        <f t="shared" si="1"/>
        <v>1</v>
      </c>
      <c r="G21" s="75">
        <f t="shared" si="1"/>
        <v>1</v>
      </c>
      <c r="H21" s="75">
        <f t="shared" si="1"/>
        <v>1</v>
      </c>
      <c r="I21" s="75">
        <f t="shared" si="1"/>
        <v>1</v>
      </c>
      <c r="J21" s="75">
        <f t="shared" si="1"/>
        <v>1</v>
      </c>
      <c r="K21" s="75">
        <f t="shared" ref="K21:Q21" si="2">IF(K17&lt;=$D$19,1,IF(AND(J17&lt;$D$19,K17&gt;$D$19),1,0))</f>
        <v>1</v>
      </c>
      <c r="L21" s="75">
        <f t="shared" si="2"/>
        <v>1</v>
      </c>
      <c r="M21" s="75">
        <f t="shared" si="2"/>
        <v>1</v>
      </c>
      <c r="N21" s="75">
        <f t="shared" si="2"/>
        <v>1</v>
      </c>
      <c r="O21" s="75">
        <f t="shared" si="2"/>
        <v>1</v>
      </c>
      <c r="P21" s="75">
        <f t="shared" si="2"/>
        <v>1</v>
      </c>
      <c r="Q21" s="75">
        <f t="shared" si="2"/>
        <v>1</v>
      </c>
    </row>
    <row r="22" spans="1:17" x14ac:dyDescent="0.25">
      <c r="B22" s="61" t="s">
        <v>192</v>
      </c>
      <c r="C22" s="75" t="s">
        <v>268</v>
      </c>
      <c r="D22" s="138">
        <f>SUM(D21:Q21)</f>
        <v>14</v>
      </c>
    </row>
    <row r="24" spans="1:17" x14ac:dyDescent="0.25">
      <c r="B24" s="61" t="s">
        <v>194</v>
      </c>
      <c r="C24" s="75" t="s">
        <v>103</v>
      </c>
      <c r="D24" s="78">
        <f t="shared" ref="D24:Q24" si="3">IF(D$6&lt;=$D$22,D16,0)</f>
        <v>0</v>
      </c>
      <c r="E24" s="78">
        <f t="shared" si="3"/>
        <v>0</v>
      </c>
      <c r="F24" s="78">
        <f t="shared" si="3"/>
        <v>0</v>
      </c>
      <c r="G24" s="78">
        <f t="shared" si="3"/>
        <v>0</v>
      </c>
      <c r="H24" s="78">
        <f t="shared" si="3"/>
        <v>0</v>
      </c>
      <c r="I24" s="78">
        <f t="shared" si="3"/>
        <v>0</v>
      </c>
      <c r="J24" s="78">
        <f t="shared" si="3"/>
        <v>0</v>
      </c>
      <c r="K24" s="78">
        <f t="shared" si="3"/>
        <v>0</v>
      </c>
      <c r="L24" s="78">
        <f t="shared" si="3"/>
        <v>0</v>
      </c>
      <c r="M24" s="78">
        <f t="shared" si="3"/>
        <v>0</v>
      </c>
      <c r="N24" s="78">
        <f t="shared" si="3"/>
        <v>0</v>
      </c>
      <c r="O24" s="78">
        <f t="shared" si="3"/>
        <v>0</v>
      </c>
      <c r="P24" s="78">
        <f t="shared" si="3"/>
        <v>0</v>
      </c>
      <c r="Q24" s="78">
        <f t="shared" si="3"/>
        <v>0</v>
      </c>
    </row>
    <row r="25" spans="1:17" x14ac:dyDescent="0.25">
      <c r="B25" s="61" t="s">
        <v>193</v>
      </c>
      <c r="C25" s="75" t="s">
        <v>103</v>
      </c>
      <c r="D25" s="78">
        <f>NPV('Datos Cotización 1'!$C$12,'Simulador VAN Cotización 1'!$D24:D24)</f>
        <v>0</v>
      </c>
      <c r="E25" s="78">
        <f>NPV('Datos Cotización 1'!$C$12,'Simulador VAN Cotización 1'!$D24:E24)</f>
        <v>0</v>
      </c>
      <c r="F25" s="78">
        <f>NPV('Datos Cotización 1'!$C$12,'Simulador VAN Cotización 1'!$D24:F24)</f>
        <v>0</v>
      </c>
      <c r="G25" s="78">
        <f>NPV('Datos Cotización 1'!$C$12,'Simulador VAN Cotización 1'!$D24:G24)</f>
        <v>0</v>
      </c>
      <c r="H25" s="78">
        <f>NPV('Datos Cotización 1'!$C$12,'Simulador VAN Cotización 1'!$D24:H24)</f>
        <v>0</v>
      </c>
      <c r="I25" s="78">
        <f>NPV('Datos Cotización 1'!$C$12,'Simulador VAN Cotización 1'!$D24:I24)</f>
        <v>0</v>
      </c>
      <c r="J25" s="78">
        <f>NPV('Datos Cotización 1'!$C$12,'Simulador VAN Cotización 1'!$D24:J24)</f>
        <v>0</v>
      </c>
      <c r="K25" s="78">
        <f>NPV('Datos Cotización 1'!$C$12,'Simulador VAN Cotización 1'!$D24:K24)</f>
        <v>0</v>
      </c>
      <c r="L25" s="78">
        <f>NPV('Datos Cotización 1'!$C$12,'Simulador VAN Cotización 1'!$D24:L24)</f>
        <v>0</v>
      </c>
      <c r="M25" s="78">
        <f>NPV('Datos Cotización 1'!$C$12,'Simulador VAN Cotización 1'!$D24:M24)</f>
        <v>0</v>
      </c>
      <c r="N25" s="78">
        <f>NPV('Datos Cotización 1'!$C$12,'Simulador VAN Cotización 1'!$D24:N24)</f>
        <v>0</v>
      </c>
      <c r="O25" s="78">
        <f>NPV('Datos Cotización 1'!$C$12,'Simulador VAN Cotización 1'!$D24:O24)</f>
        <v>0</v>
      </c>
      <c r="P25" s="78">
        <f>NPV('Datos Cotización 1'!$C$12,'Simulador VAN Cotización 1'!$D24:P24)</f>
        <v>0</v>
      </c>
      <c r="Q25" s="78">
        <f>NPV('Datos Cotización 1'!$C$12,'Simulador VAN Cotización 1'!$D24:Q24)</f>
        <v>0</v>
      </c>
    </row>
    <row r="26" spans="1:17" x14ac:dyDescent="0.25">
      <c r="D26" s="78"/>
      <c r="E26" s="78"/>
      <c r="F26" s="78"/>
      <c r="G26" s="78"/>
      <c r="H26" s="78"/>
      <c r="I26" s="78"/>
      <c r="J26" s="78"/>
      <c r="K26" s="78"/>
      <c r="L26" s="78"/>
      <c r="M26" s="78"/>
      <c r="N26" s="78"/>
      <c r="O26" s="78"/>
      <c r="P26" s="78"/>
      <c r="Q26" s="78"/>
    </row>
    <row r="27" spans="1:17" s="79" customFormat="1" ht="14.25" x14ac:dyDescent="0.2">
      <c r="B27" s="79" t="s">
        <v>195</v>
      </c>
      <c r="C27" s="128" t="s">
        <v>103</v>
      </c>
      <c r="D27" s="119">
        <f>IF(D$6&lt;$D$22,D24,IF(D$6=$D$22,($D$19-C25)*((1+'Datos Cotización 1'!$C$12)^('Simulador VAN Cotización 1'!D$6)),0))</f>
        <v>0</v>
      </c>
      <c r="E27" s="119">
        <f>IF(E$6&lt;$D$22,E24,IF(E$6=$D$22,($D$19-D25)*((1+'Datos Cotización 1'!$C$12)^('Simulador VAN Cotización 1'!E$6)),0))</f>
        <v>0</v>
      </c>
      <c r="F27" s="119">
        <f>IF(F$6&lt;$D$22,F24,IF(F$6=$D$22,($D$19-E25)*((1+'Datos Cotización 1'!$C$12)^('Simulador VAN Cotización 1'!F$6)),0))</f>
        <v>0</v>
      </c>
      <c r="G27" s="119">
        <f>IF(G$6&lt;$D$22,G24,IF(G$6=$D$22,($D$19-F25)*((1+'Datos Cotización 1'!$C$12)^('Simulador VAN Cotización 1'!G$6)),0))</f>
        <v>0</v>
      </c>
      <c r="H27" s="119">
        <f>IF(H$6&lt;$D$22,H24,IF(H$6=$D$22,($D$19-G25)*((1+'Datos Cotización 1'!$C$12)^('Simulador VAN Cotización 1'!H$6)),0))</f>
        <v>0</v>
      </c>
      <c r="I27" s="119">
        <f>IF(I$6&lt;$D$22,I24,IF(I$6=$D$22,($D$19-H25)*((1+'Datos Cotización 1'!$C$12)^('Simulador VAN Cotización 1'!I$6)),0))</f>
        <v>0</v>
      </c>
      <c r="J27" s="119">
        <f>IF(J$6&lt;$D$22,J24,IF(J$6=$D$22,($D$19-I25)*((1+'Datos Cotización 1'!$C$12)^('Simulador VAN Cotización 1'!J$6)),0))</f>
        <v>0</v>
      </c>
      <c r="K27" s="119">
        <f>IF(K$6&lt;$D$22,K24,IF(K$6=$D$22,($D$19-J25)*((1+'Datos Cotización 1'!$C$12)^('Simulador VAN Cotización 1'!K$6)),0))</f>
        <v>0</v>
      </c>
      <c r="L27" s="119">
        <f>IF(L$6&lt;$D$22,L24,IF(L$6=$D$22,($D$19-K25)*((1+'Datos Cotización 1'!$C$12)^('Simulador VAN Cotización 1'!L$6)),0))</f>
        <v>0</v>
      </c>
      <c r="M27" s="119">
        <f>IF(M$6&lt;$D$22,M24,IF(M$6=$D$22,($D$19-L25)*((1+'Datos Cotización 1'!$C$12)^('Simulador VAN Cotización 1'!M$6)),0))</f>
        <v>0</v>
      </c>
      <c r="N27" s="119">
        <f>IF(N$6&lt;$D$22,N24,IF(N$6=$D$22,($D$19-M25)*((1+'Datos Cotización 1'!$C$12)^('Simulador VAN Cotización 1'!N$6)),0))</f>
        <v>0</v>
      </c>
      <c r="O27" s="119">
        <f>IF(O$6&lt;$D$22,O24,IF(O$6=$D$22,($D$19-N25)*((1+'Datos Cotización 1'!$C$12)^('Simulador VAN Cotización 1'!O$6)),0))</f>
        <v>0</v>
      </c>
      <c r="P27" s="119">
        <f>IF(P$6&lt;$D$22,P24,IF(P$6=$D$22,($D$19-O25)*((1+'Datos Cotización 1'!$C$12)^('Simulador VAN Cotización 1'!P$6)),0))</f>
        <v>0</v>
      </c>
      <c r="Q27" s="119">
        <f>IF(Q$6&lt;$D$22,Q24,IF(Q$6=$D$22,($D$19-P25)*((1+'Datos Cotización 1'!$C$12)^('Simulador VAN Cotización 1'!Q$6)),0))</f>
        <v>0</v>
      </c>
    </row>
    <row r="28" spans="1:17" hidden="1" outlineLevel="1" x14ac:dyDescent="0.25">
      <c r="B28" s="61" t="s">
        <v>198</v>
      </c>
      <c r="D28" s="78">
        <f>NPV('Datos Cotización 1'!$C$12,'Simulador VAN Cotización 1'!D27:Q27)</f>
        <v>0</v>
      </c>
      <c r="E28" s="78"/>
      <c r="F28" s="78"/>
      <c r="G28" s="78"/>
      <c r="H28" s="78"/>
      <c r="I28" s="78"/>
      <c r="J28" s="78"/>
      <c r="K28" s="78"/>
      <c r="L28" s="78"/>
      <c r="M28" s="78"/>
      <c r="N28" s="78"/>
      <c r="O28" s="78"/>
      <c r="P28" s="78"/>
      <c r="Q28" s="78"/>
    </row>
    <row r="29" spans="1:17" hidden="1" outlineLevel="1" x14ac:dyDescent="0.25">
      <c r="B29" s="87" t="s">
        <v>199</v>
      </c>
      <c r="C29" s="129"/>
      <c r="D29" s="98">
        <f>+D28-D19</f>
        <v>0</v>
      </c>
      <c r="E29" s="78"/>
      <c r="F29" s="78"/>
      <c r="G29" s="78"/>
      <c r="H29" s="78"/>
      <c r="I29" s="78"/>
      <c r="J29" s="78"/>
      <c r="K29" s="78"/>
      <c r="L29" s="78"/>
      <c r="M29" s="78"/>
      <c r="N29" s="78"/>
      <c r="O29" s="78"/>
      <c r="P29" s="78"/>
      <c r="Q29" s="78"/>
    </row>
    <row r="30" spans="1:17" collapsed="1" x14ac:dyDescent="0.25"/>
    <row r="31" spans="1:17" x14ac:dyDescent="0.25">
      <c r="A31" s="124" t="s">
        <v>162</v>
      </c>
      <c r="B31" s="79" t="s">
        <v>269</v>
      </c>
      <c r="C31" s="136"/>
      <c r="D31" s="80"/>
      <c r="E31" s="80"/>
      <c r="F31" s="80"/>
      <c r="G31" s="80"/>
      <c r="H31" s="80"/>
      <c r="I31" s="80"/>
      <c r="J31" s="80"/>
      <c r="K31" s="80"/>
      <c r="L31" s="80"/>
      <c r="M31" s="80"/>
      <c r="N31" s="80"/>
      <c r="O31" s="80"/>
      <c r="P31" s="80"/>
      <c r="Q31" s="80"/>
    </row>
    <row r="32" spans="1:17" x14ac:dyDescent="0.25">
      <c r="E32" s="81"/>
    </row>
    <row r="33" spans="2:17" x14ac:dyDescent="0.25">
      <c r="B33" s="61" t="s">
        <v>196</v>
      </c>
      <c r="C33" s="75" t="s">
        <v>103</v>
      </c>
      <c r="D33" s="82">
        <f t="shared" ref="D33:Q33" si="4">+D16</f>
        <v>0</v>
      </c>
      <c r="E33" s="82">
        <f t="shared" si="4"/>
        <v>0</v>
      </c>
      <c r="F33" s="82">
        <f t="shared" si="4"/>
        <v>0</v>
      </c>
      <c r="G33" s="82">
        <f t="shared" si="4"/>
        <v>0</v>
      </c>
      <c r="H33" s="82">
        <f t="shared" si="4"/>
        <v>0</v>
      </c>
      <c r="I33" s="82">
        <f t="shared" si="4"/>
        <v>0</v>
      </c>
      <c r="J33" s="82">
        <f t="shared" si="4"/>
        <v>0</v>
      </c>
      <c r="K33" s="82">
        <f t="shared" si="4"/>
        <v>0</v>
      </c>
      <c r="L33" s="82">
        <f t="shared" si="4"/>
        <v>0</v>
      </c>
      <c r="M33" s="82">
        <f t="shared" si="4"/>
        <v>0</v>
      </c>
      <c r="N33" s="82">
        <f t="shared" si="4"/>
        <v>0</v>
      </c>
      <c r="O33" s="82">
        <f t="shared" si="4"/>
        <v>0</v>
      </c>
      <c r="P33" s="82">
        <f t="shared" si="4"/>
        <v>0</v>
      </c>
      <c r="Q33" s="82">
        <f t="shared" si="4"/>
        <v>0</v>
      </c>
    </row>
    <row r="34" spans="2:17" x14ac:dyDescent="0.25">
      <c r="B34" s="61" t="s">
        <v>197</v>
      </c>
      <c r="C34" s="75" t="s">
        <v>103</v>
      </c>
      <c r="D34" s="82">
        <f t="shared" ref="D34:Q34" si="5">+D17</f>
        <v>0</v>
      </c>
      <c r="E34" s="82">
        <f t="shared" si="5"/>
        <v>0</v>
      </c>
      <c r="F34" s="82">
        <f t="shared" si="5"/>
        <v>0</v>
      </c>
      <c r="G34" s="82">
        <f t="shared" si="5"/>
        <v>0</v>
      </c>
      <c r="H34" s="82">
        <f t="shared" si="5"/>
        <v>0</v>
      </c>
      <c r="I34" s="82">
        <f t="shared" si="5"/>
        <v>0</v>
      </c>
      <c r="J34" s="82">
        <f t="shared" si="5"/>
        <v>0</v>
      </c>
      <c r="K34" s="82">
        <f t="shared" si="5"/>
        <v>0</v>
      </c>
      <c r="L34" s="82">
        <f t="shared" si="5"/>
        <v>0</v>
      </c>
      <c r="M34" s="82">
        <f t="shared" si="5"/>
        <v>0</v>
      </c>
      <c r="N34" s="82">
        <f t="shared" si="5"/>
        <v>0</v>
      </c>
      <c r="O34" s="82">
        <f t="shared" si="5"/>
        <v>0</v>
      </c>
      <c r="P34" s="82">
        <f t="shared" si="5"/>
        <v>0</v>
      </c>
      <c r="Q34" s="82">
        <f t="shared" si="5"/>
        <v>0</v>
      </c>
    </row>
    <row r="35" spans="2:17" x14ac:dyDescent="0.25">
      <c r="D35" s="82"/>
      <c r="E35" s="82"/>
      <c r="F35" s="82"/>
      <c r="G35" s="82"/>
      <c r="H35" s="82"/>
      <c r="I35" s="82"/>
      <c r="J35" s="82"/>
      <c r="K35" s="82"/>
      <c r="L35" s="82"/>
      <c r="M35" s="82"/>
      <c r="N35" s="82"/>
      <c r="O35" s="82"/>
      <c r="P35" s="82"/>
      <c r="Q35" s="82"/>
    </row>
    <row r="36" spans="2:17" x14ac:dyDescent="0.25">
      <c r="B36" s="61" t="s">
        <v>270</v>
      </c>
      <c r="C36" s="75" t="s">
        <v>103</v>
      </c>
      <c r="D36" s="78">
        <f>H58</f>
        <v>0</v>
      </c>
      <c r="E36" s="81"/>
    </row>
    <row r="37" spans="2:17" x14ac:dyDescent="0.25">
      <c r="D37" s="119"/>
      <c r="E37" s="81"/>
    </row>
    <row r="38" spans="2:17" x14ac:dyDescent="0.25">
      <c r="B38" s="61" t="s">
        <v>267</v>
      </c>
      <c r="D38" s="75">
        <f>IF(D34&lt;=$D$36,1,IF(AND(B34&lt;$D$36,D34&gt;$D$36),1,0))</f>
        <v>1</v>
      </c>
      <c r="E38" s="75">
        <f t="shared" ref="E38:Q38" si="6">IF(E34&lt;=$D$36,1,IF(AND(D34&lt;$D$36,E34&gt;$D$36),1,0))</f>
        <v>1</v>
      </c>
      <c r="F38" s="75">
        <f t="shared" si="6"/>
        <v>1</v>
      </c>
      <c r="G38" s="75">
        <f t="shared" si="6"/>
        <v>1</v>
      </c>
      <c r="H38" s="75">
        <f t="shared" si="6"/>
        <v>1</v>
      </c>
      <c r="I38" s="75">
        <f t="shared" si="6"/>
        <v>1</v>
      </c>
      <c r="J38" s="75">
        <f t="shared" si="6"/>
        <v>1</v>
      </c>
      <c r="K38" s="75">
        <f t="shared" si="6"/>
        <v>1</v>
      </c>
      <c r="L38" s="75">
        <f t="shared" si="6"/>
        <v>1</v>
      </c>
      <c r="M38" s="75">
        <f t="shared" si="6"/>
        <v>1</v>
      </c>
      <c r="N38" s="75">
        <f t="shared" si="6"/>
        <v>1</v>
      </c>
      <c r="O38" s="75">
        <f t="shared" si="6"/>
        <v>1</v>
      </c>
      <c r="P38" s="75">
        <f t="shared" si="6"/>
        <v>1</v>
      </c>
      <c r="Q38" s="75">
        <f t="shared" si="6"/>
        <v>1</v>
      </c>
    </row>
    <row r="39" spans="2:17" x14ac:dyDescent="0.25">
      <c r="B39" s="61" t="s">
        <v>192</v>
      </c>
      <c r="C39" s="75" t="s">
        <v>268</v>
      </c>
      <c r="D39" s="138">
        <f>SUM(D38:Q38)</f>
        <v>14</v>
      </c>
    </row>
    <row r="41" spans="2:17" x14ac:dyDescent="0.25">
      <c r="B41" s="61" t="s">
        <v>194</v>
      </c>
      <c r="C41" s="75" t="s">
        <v>103</v>
      </c>
      <c r="D41" s="78">
        <f t="shared" ref="D41:Q41" si="7">IF(D$6&lt;=$D$39,D33,0)</f>
        <v>0</v>
      </c>
      <c r="E41" s="78">
        <f t="shared" si="7"/>
        <v>0</v>
      </c>
      <c r="F41" s="78">
        <f t="shared" si="7"/>
        <v>0</v>
      </c>
      <c r="G41" s="78">
        <f t="shared" si="7"/>
        <v>0</v>
      </c>
      <c r="H41" s="78">
        <f t="shared" si="7"/>
        <v>0</v>
      </c>
      <c r="I41" s="78">
        <f t="shared" si="7"/>
        <v>0</v>
      </c>
      <c r="J41" s="78">
        <f t="shared" si="7"/>
        <v>0</v>
      </c>
      <c r="K41" s="78">
        <f t="shared" si="7"/>
        <v>0</v>
      </c>
      <c r="L41" s="78">
        <f t="shared" si="7"/>
        <v>0</v>
      </c>
      <c r="M41" s="78">
        <f t="shared" si="7"/>
        <v>0</v>
      </c>
      <c r="N41" s="78">
        <f t="shared" si="7"/>
        <v>0</v>
      </c>
      <c r="O41" s="78">
        <f t="shared" si="7"/>
        <v>0</v>
      </c>
      <c r="P41" s="78">
        <f t="shared" si="7"/>
        <v>0</v>
      </c>
      <c r="Q41" s="78">
        <f t="shared" si="7"/>
        <v>0</v>
      </c>
    </row>
    <row r="42" spans="2:17" x14ac:dyDescent="0.25">
      <c r="B42" s="61" t="s">
        <v>193</v>
      </c>
      <c r="C42" s="75" t="s">
        <v>103</v>
      </c>
      <c r="D42" s="78">
        <f>NPV('Datos Cotización 1'!$C$12,'Simulador VAN Cotización 1'!$D41:D41)</f>
        <v>0</v>
      </c>
      <c r="E42" s="78">
        <f>NPV('Datos Cotización 1'!$C$12,'Simulador VAN Cotización 1'!$D41:E41)</f>
        <v>0</v>
      </c>
      <c r="F42" s="78">
        <f>NPV('Datos Cotización 1'!$C$12,'Simulador VAN Cotización 1'!$D41:F41)</f>
        <v>0</v>
      </c>
      <c r="G42" s="78">
        <f>NPV('Datos Cotización 1'!$C$12,'Simulador VAN Cotización 1'!$D41:G41)</f>
        <v>0</v>
      </c>
      <c r="H42" s="78">
        <f>NPV('Datos Cotización 1'!$C$12,'Simulador VAN Cotización 1'!$D41:H41)</f>
        <v>0</v>
      </c>
      <c r="I42" s="78">
        <f>NPV('Datos Cotización 1'!$C$12,'Simulador VAN Cotización 1'!$D41:I41)</f>
        <v>0</v>
      </c>
      <c r="J42" s="78">
        <f>NPV('Datos Cotización 1'!$C$12,'Simulador VAN Cotización 1'!$D41:J41)</f>
        <v>0</v>
      </c>
      <c r="K42" s="78">
        <f>NPV('Datos Cotización 1'!$C$12,'Simulador VAN Cotización 1'!$D41:K41)</f>
        <v>0</v>
      </c>
      <c r="L42" s="78">
        <f>NPV('Datos Cotización 1'!$C$12,'Simulador VAN Cotización 1'!$D41:L41)</f>
        <v>0</v>
      </c>
      <c r="M42" s="78">
        <f>NPV('Datos Cotización 1'!$C$12,'Simulador VAN Cotización 1'!$D41:M41)</f>
        <v>0</v>
      </c>
      <c r="N42" s="78">
        <f>NPV('Datos Cotización 1'!$C$12,'Simulador VAN Cotización 1'!$D41:N41)</f>
        <v>0</v>
      </c>
      <c r="O42" s="78">
        <f>NPV('Datos Cotización 1'!$C$12,'Simulador VAN Cotización 1'!$D41:O41)</f>
        <v>0</v>
      </c>
      <c r="P42" s="78">
        <f>NPV('Datos Cotización 1'!$C$12,'Simulador VAN Cotización 1'!$D41:P41)</f>
        <v>0</v>
      </c>
      <c r="Q42" s="78">
        <f>NPV('Datos Cotización 1'!$C$12,'Simulador VAN Cotización 1'!$D41:Q41)</f>
        <v>0</v>
      </c>
    </row>
    <row r="43" spans="2:17" x14ac:dyDescent="0.25">
      <c r="D43" s="78"/>
      <c r="E43" s="78"/>
      <c r="F43" s="78"/>
      <c r="G43" s="78"/>
      <c r="H43" s="78"/>
      <c r="I43" s="78"/>
      <c r="J43" s="78"/>
      <c r="K43" s="78"/>
      <c r="L43" s="78"/>
      <c r="M43" s="78"/>
      <c r="N43" s="78"/>
      <c r="O43" s="78"/>
      <c r="P43" s="78"/>
      <c r="Q43" s="78"/>
    </row>
    <row r="44" spans="2:17" s="79" customFormat="1" ht="14.25" x14ac:dyDescent="0.2">
      <c r="B44" s="79" t="s">
        <v>195</v>
      </c>
      <c r="C44" s="128" t="s">
        <v>103</v>
      </c>
      <c r="D44" s="119">
        <f>IF(D$6&lt;$D$39,D41,IF(D$6=$D$39,($D$36-B42)*((1+'Datos Cotización 1'!$C$12)^('Simulador VAN Cotización 1'!D$6)),0))</f>
        <v>0</v>
      </c>
      <c r="E44" s="119">
        <f>IF(E$6&lt;$D$39,E41,IF(E$6=$D$39,($D$36-D42)*((1+'Datos Cotización 1'!$C$12)^('Simulador VAN Cotización 1'!E$6)),0))</f>
        <v>0</v>
      </c>
      <c r="F44" s="119">
        <f>IF(F$6&lt;$D$39,F41,IF(F$6=$D$39,($D$36-E42)*((1+'Datos Cotización 1'!$C$12)^('Simulador VAN Cotización 1'!F$6)),0))</f>
        <v>0</v>
      </c>
      <c r="G44" s="119">
        <f>IF(G$6&lt;$D$39,G41,IF(G$6=$D$39,($D$36-F42)*((1+'Datos Cotización 1'!$C$12)^('Simulador VAN Cotización 1'!G$6)),0))</f>
        <v>0</v>
      </c>
      <c r="H44" s="119">
        <f>IF(H$6&lt;$D$39,H41,IF(H$6=$D$39,($D$36-G42)*((1+'Datos Cotización 1'!$C$12)^('Simulador VAN Cotización 1'!H$6)),0))</f>
        <v>0</v>
      </c>
      <c r="I44" s="119">
        <f>IF(I$6&lt;$D$39,I41,IF(I$6=$D$39,($D$36-H42)*((1+'Datos Cotización 1'!$C$12)^('Simulador VAN Cotización 1'!I$6)),0))</f>
        <v>0</v>
      </c>
      <c r="J44" s="119">
        <f>IF(J$6&lt;$D$39,J41,IF(J$6=$D$39,($D$36-I42)*((1+'Datos Cotización 1'!$C$12)^('Simulador VAN Cotización 1'!J$6)),0))</f>
        <v>0</v>
      </c>
      <c r="K44" s="119">
        <f>IF(K$6&lt;$D$39,K41,IF(K$6=$D$39,($D$36-J42)*((1+'Datos Cotización 1'!$C$12)^('Simulador VAN Cotización 1'!K$6)),0))</f>
        <v>0</v>
      </c>
      <c r="L44" s="119">
        <f>IF(L$6&lt;$D$39,L41,IF(L$6=$D$39,($D$36-K42)*((1+'Datos Cotización 1'!$C$12)^('Simulador VAN Cotización 1'!L$6)),0))</f>
        <v>0</v>
      </c>
      <c r="M44" s="119">
        <f>IF(M$6&lt;$D$39,M41,IF(M$6=$D$39,($D$36-L42)*((1+'Datos Cotización 1'!$C$12)^('Simulador VAN Cotización 1'!M$6)),0))</f>
        <v>0</v>
      </c>
      <c r="N44" s="119">
        <f>IF(N$6&lt;$D$39,N41,IF(N$6=$D$39,($D$36-M42)*((1+'Datos Cotización 1'!$C$12)^('Simulador VAN Cotización 1'!N$6)),0))</f>
        <v>0</v>
      </c>
      <c r="O44" s="119">
        <f>IF(O$6&lt;$D$39,O41,IF(O$6=$D$39,($D$36-N42)*((1+'Datos Cotización 1'!$C$12)^('Simulador VAN Cotización 1'!O$6)),0))</f>
        <v>0</v>
      </c>
      <c r="P44" s="119">
        <f>IF(P$6&lt;$D$39,P41,IF(P$6=$D$39,($D$36-O42)*((1+'Datos Cotización 1'!$C$12)^('Simulador VAN Cotización 1'!P$6)),0))</f>
        <v>0</v>
      </c>
      <c r="Q44" s="119">
        <f>IF(Q$6&lt;$D$39,Q41,IF(Q$6=$D$39,($D$36-P42)*((1+'Datos Cotización 1'!$C$12)^('Simulador VAN Cotización 1'!Q$6)),0))</f>
        <v>0</v>
      </c>
    </row>
    <row r="45" spans="2:17" hidden="1" outlineLevel="1" x14ac:dyDescent="0.25">
      <c r="B45" s="61" t="s">
        <v>198</v>
      </c>
      <c r="C45" s="75" t="s">
        <v>103</v>
      </c>
      <c r="D45" s="78">
        <f>NPV('Datos Cotización 1'!$C$12,'Simulador VAN Cotización 1'!D44:Q44)</f>
        <v>0</v>
      </c>
      <c r="E45" s="78"/>
      <c r="F45" s="78"/>
      <c r="G45" s="78"/>
      <c r="H45" s="78"/>
      <c r="I45" s="78"/>
      <c r="J45" s="78"/>
      <c r="K45" s="78"/>
      <c r="L45" s="78"/>
      <c r="M45" s="78"/>
      <c r="N45" s="78"/>
      <c r="O45" s="78"/>
      <c r="P45" s="78"/>
      <c r="Q45" s="78"/>
    </row>
    <row r="46" spans="2:17" hidden="1" outlineLevel="1" x14ac:dyDescent="0.25">
      <c r="B46" s="87" t="s">
        <v>199</v>
      </c>
      <c r="C46" s="129"/>
      <c r="D46" s="98">
        <f>+D45-D36</f>
        <v>0</v>
      </c>
    </row>
    <row r="47" spans="2:17" collapsed="1" x14ac:dyDescent="0.25"/>
    <row r="48" spans="2:17" hidden="1" outlineLevel="1" x14ac:dyDescent="0.25">
      <c r="B48" s="83" t="s">
        <v>200</v>
      </c>
      <c r="C48" s="132"/>
      <c r="E48" s="75"/>
    </row>
    <row r="49" spans="1:17" hidden="1" outlineLevel="1" x14ac:dyDescent="0.25">
      <c r="B49" s="83"/>
      <c r="C49" s="132"/>
      <c r="E49" s="75"/>
    </row>
    <row r="50" spans="1:17" hidden="1" outlineLevel="1" x14ac:dyDescent="0.25">
      <c r="B50" s="88" t="s">
        <v>201</v>
      </c>
      <c r="C50" s="133"/>
      <c r="D50" s="89" t="s">
        <v>116</v>
      </c>
      <c r="E50" s="89" t="s">
        <v>115</v>
      </c>
    </row>
    <row r="51" spans="1:17" hidden="1" outlineLevel="1" x14ac:dyDescent="0.25">
      <c r="B51" s="88" t="s">
        <v>118</v>
      </c>
      <c r="C51" s="133"/>
      <c r="D51" s="90">
        <v>0.08</v>
      </c>
      <c r="E51" s="90">
        <v>0.16</v>
      </c>
    </row>
    <row r="52" spans="1:17" hidden="1" outlineLevel="1" x14ac:dyDescent="0.25">
      <c r="B52" s="88" t="s">
        <v>119</v>
      </c>
      <c r="C52" s="133"/>
      <c r="D52" s="90">
        <v>0.08</v>
      </c>
      <c r="E52" s="90">
        <v>0.16</v>
      </c>
    </row>
    <row r="53" spans="1:17" hidden="1" outlineLevel="1" x14ac:dyDescent="0.25">
      <c r="B53" s="88" t="s">
        <v>120</v>
      </c>
      <c r="C53" s="133"/>
      <c r="D53" s="90">
        <v>0.04</v>
      </c>
      <c r="E53" s="90">
        <v>0.12</v>
      </c>
    </row>
    <row r="54" spans="1:17" hidden="1" outlineLevel="1" x14ac:dyDescent="0.25">
      <c r="B54" s="88" t="s">
        <v>167</v>
      </c>
      <c r="C54" s="133"/>
      <c r="D54" s="90">
        <v>0</v>
      </c>
      <c r="E54" s="90">
        <v>0.08</v>
      </c>
    </row>
    <row r="55" spans="1:17" hidden="1" outlineLevel="1" x14ac:dyDescent="0.25"/>
    <row r="56" spans="1:17" hidden="1" outlineLevel="1" x14ac:dyDescent="0.25">
      <c r="B56" s="79" t="s">
        <v>202</v>
      </c>
      <c r="C56" s="128"/>
      <c r="D56" s="78"/>
    </row>
    <row r="57" spans="1:17" ht="60" hidden="1" outlineLevel="1" x14ac:dyDescent="0.25">
      <c r="B57" s="94" t="str">
        <f>+'Formulario de cotización'!B25</f>
        <v>ITEMS</v>
      </c>
      <c r="C57" s="134"/>
      <c r="D57" s="94" t="str">
        <f>+'Formulario de cotización'!J25</f>
        <v>Origen Nacional (Si/No)</v>
      </c>
      <c r="E57" s="94" t="s">
        <v>203</v>
      </c>
      <c r="F57" s="94" t="s">
        <v>204</v>
      </c>
      <c r="G57" s="95" t="s">
        <v>205</v>
      </c>
      <c r="H57" s="95" t="s">
        <v>206</v>
      </c>
    </row>
    <row r="58" spans="1:17" hidden="1" outlineLevel="1" x14ac:dyDescent="0.25">
      <c r="B58" s="93">
        <f>+'Formulario de cotización'!B26</f>
        <v>1</v>
      </c>
      <c r="C58" s="135"/>
      <c r="D58" s="91" t="str">
        <f>IF('Datos Cotización 1'!$J$33="Si",IF('Formulario de cotización'!$J$26="Si","Si","No"),"No")</f>
        <v>No</v>
      </c>
      <c r="E58" s="91" t="str">
        <f>IF('Datos Cotización 1'!$J$35="Si",IF('Formulario de cotización'!$K$26="Seleccionar","Grande",'Formulario de cotización'!$K$26),"Grande")</f>
        <v>Grande</v>
      </c>
      <c r="F58" s="92">
        <f>IFERROR(IF(OR('Datos Cotización 1'!$J$33="Si",'Datos Cotización 1'!$J$35="Si"),VLOOKUP(E58,$B$51:$E$54,MATCH(D58,$B$50:$E$50),FALSE),0),0)</f>
        <v>0</v>
      </c>
      <c r="G58" s="97">
        <f>+'Datos Cotización 1'!G27</f>
        <v>0</v>
      </c>
      <c r="H58" s="97">
        <f>G58*(1-F58)</f>
        <v>0</v>
      </c>
    </row>
    <row r="59" spans="1:17" collapsed="1" x14ac:dyDescent="0.25">
      <c r="C59" s="61"/>
    </row>
    <row r="60" spans="1:17" x14ac:dyDescent="0.25">
      <c r="A60" s="79" t="s">
        <v>163</v>
      </c>
      <c r="B60" s="79" t="s">
        <v>260</v>
      </c>
      <c r="C60" s="61"/>
    </row>
    <row r="61" spans="1:17" x14ac:dyDescent="0.25">
      <c r="C61" s="61"/>
    </row>
    <row r="62" spans="1:17" x14ac:dyDescent="0.25">
      <c r="A62" s="79" t="s">
        <v>165</v>
      </c>
      <c r="B62" s="123" t="s">
        <v>271</v>
      </c>
      <c r="C62" s="139"/>
      <c r="D62" s="120"/>
      <c r="E62" s="120"/>
      <c r="F62" s="120"/>
      <c r="G62" s="120"/>
      <c r="H62" s="120"/>
      <c r="I62" s="120"/>
      <c r="J62" s="120"/>
      <c r="K62" s="120"/>
      <c r="L62" s="120"/>
      <c r="M62" s="120"/>
      <c r="N62" s="120"/>
      <c r="O62" s="120"/>
      <c r="P62" s="120"/>
      <c r="Q62" s="120"/>
    </row>
    <row r="63" spans="1:17" x14ac:dyDescent="0.25">
      <c r="B63" s="120"/>
      <c r="C63" s="130"/>
      <c r="D63" s="120"/>
      <c r="E63" s="120"/>
      <c r="F63" s="120"/>
      <c r="G63" s="120"/>
      <c r="H63" s="120"/>
      <c r="I63" s="120"/>
      <c r="J63" s="120"/>
      <c r="K63" s="120"/>
      <c r="L63" s="120"/>
      <c r="M63" s="120"/>
      <c r="N63" s="120"/>
      <c r="O63" s="120"/>
      <c r="P63" s="120"/>
      <c r="Q63" s="120"/>
    </row>
    <row r="64" spans="1:17" x14ac:dyDescent="0.25">
      <c r="B64" s="120" t="s">
        <v>112</v>
      </c>
      <c r="C64" s="130" t="s">
        <v>103</v>
      </c>
      <c r="D64" s="121">
        <f>D$10</f>
        <v>0</v>
      </c>
      <c r="E64" s="121">
        <f t="shared" ref="E64:Q64" si="8">E$10</f>
        <v>0</v>
      </c>
      <c r="F64" s="121">
        <f t="shared" si="8"/>
        <v>0</v>
      </c>
      <c r="G64" s="121">
        <f t="shared" si="8"/>
        <v>0</v>
      </c>
      <c r="H64" s="121">
        <f t="shared" si="8"/>
        <v>0</v>
      </c>
      <c r="I64" s="121">
        <f t="shared" si="8"/>
        <v>0</v>
      </c>
      <c r="J64" s="121">
        <f t="shared" si="8"/>
        <v>0</v>
      </c>
      <c r="K64" s="121">
        <f t="shared" si="8"/>
        <v>0</v>
      </c>
      <c r="L64" s="121">
        <f t="shared" si="8"/>
        <v>0</v>
      </c>
      <c r="M64" s="121">
        <f t="shared" si="8"/>
        <v>0</v>
      </c>
      <c r="N64" s="121">
        <f t="shared" si="8"/>
        <v>0</v>
      </c>
      <c r="O64" s="121">
        <f t="shared" si="8"/>
        <v>0</v>
      </c>
      <c r="P64" s="121">
        <f t="shared" si="8"/>
        <v>0</v>
      </c>
      <c r="Q64" s="121">
        <f t="shared" si="8"/>
        <v>0</v>
      </c>
    </row>
    <row r="65" spans="1:17" x14ac:dyDescent="0.25">
      <c r="B65" s="120" t="s">
        <v>121</v>
      </c>
      <c r="C65" s="130" t="s">
        <v>103</v>
      </c>
      <c r="D65" s="121">
        <f t="shared" ref="D65:Q65" si="9">-D27</f>
        <v>0</v>
      </c>
      <c r="E65" s="121">
        <f t="shared" si="9"/>
        <v>0</v>
      </c>
      <c r="F65" s="121">
        <f t="shared" si="9"/>
        <v>0</v>
      </c>
      <c r="G65" s="121">
        <f t="shared" si="9"/>
        <v>0</v>
      </c>
      <c r="H65" s="121">
        <f t="shared" si="9"/>
        <v>0</v>
      </c>
      <c r="I65" s="121">
        <f t="shared" si="9"/>
        <v>0</v>
      </c>
      <c r="J65" s="121">
        <f t="shared" si="9"/>
        <v>0</v>
      </c>
      <c r="K65" s="121">
        <f t="shared" si="9"/>
        <v>0</v>
      </c>
      <c r="L65" s="121">
        <f t="shared" si="9"/>
        <v>0</v>
      </c>
      <c r="M65" s="121">
        <f t="shared" si="9"/>
        <v>0</v>
      </c>
      <c r="N65" s="121">
        <f t="shared" si="9"/>
        <v>0</v>
      </c>
      <c r="O65" s="121">
        <f t="shared" si="9"/>
        <v>0</v>
      </c>
      <c r="P65" s="121">
        <f t="shared" si="9"/>
        <v>0</v>
      </c>
      <c r="Q65" s="121">
        <f t="shared" si="9"/>
        <v>0</v>
      </c>
    </row>
    <row r="66" spans="1:17" x14ac:dyDescent="0.25">
      <c r="B66" s="120"/>
      <c r="C66" s="130"/>
      <c r="D66" s="120"/>
      <c r="E66" s="120"/>
      <c r="F66" s="120"/>
      <c r="G66" s="120"/>
      <c r="H66" s="120"/>
      <c r="I66" s="120"/>
      <c r="J66" s="120"/>
      <c r="K66" s="121"/>
      <c r="L66" s="120"/>
      <c r="M66" s="120"/>
      <c r="N66" s="120"/>
      <c r="O66" s="120"/>
      <c r="P66" s="120"/>
      <c r="Q66" s="120"/>
    </row>
    <row r="67" spans="1:17" x14ac:dyDescent="0.25">
      <c r="B67" s="123" t="s">
        <v>237</v>
      </c>
      <c r="C67" s="130" t="s">
        <v>103</v>
      </c>
      <c r="D67" s="122">
        <f>D64+D65</f>
        <v>0</v>
      </c>
      <c r="E67" s="122">
        <f t="shared" ref="E67:Q67" si="10">E64+E65</f>
        <v>0</v>
      </c>
      <c r="F67" s="122">
        <f t="shared" si="10"/>
        <v>0</v>
      </c>
      <c r="G67" s="122">
        <f t="shared" si="10"/>
        <v>0</v>
      </c>
      <c r="H67" s="122">
        <f t="shared" si="10"/>
        <v>0</v>
      </c>
      <c r="I67" s="122">
        <f t="shared" si="10"/>
        <v>0</v>
      </c>
      <c r="J67" s="122">
        <f t="shared" si="10"/>
        <v>0</v>
      </c>
      <c r="K67" s="122">
        <f t="shared" si="10"/>
        <v>0</v>
      </c>
      <c r="L67" s="122">
        <f t="shared" si="10"/>
        <v>0</v>
      </c>
      <c r="M67" s="122">
        <f t="shared" si="10"/>
        <v>0</v>
      </c>
      <c r="N67" s="122">
        <f t="shared" si="10"/>
        <v>0</v>
      </c>
      <c r="O67" s="122">
        <f t="shared" si="10"/>
        <v>0</v>
      </c>
      <c r="P67" s="122">
        <f t="shared" si="10"/>
        <v>0</v>
      </c>
      <c r="Q67" s="122">
        <f t="shared" si="10"/>
        <v>0</v>
      </c>
    </row>
    <row r="68" spans="1:17" x14ac:dyDescent="0.25">
      <c r="B68" s="120"/>
      <c r="C68" s="130"/>
      <c r="D68" s="120"/>
      <c r="E68" s="120"/>
      <c r="F68" s="120"/>
      <c r="G68" s="120"/>
      <c r="H68" s="120"/>
      <c r="I68" s="120"/>
      <c r="J68" s="120"/>
      <c r="K68" s="120"/>
      <c r="L68" s="120"/>
      <c r="M68" s="120"/>
      <c r="N68" s="120"/>
      <c r="O68" s="120"/>
      <c r="P68" s="120"/>
      <c r="Q68" s="120"/>
    </row>
    <row r="69" spans="1:17" x14ac:dyDescent="0.25">
      <c r="B69" s="123" t="s">
        <v>238</v>
      </c>
      <c r="C69" s="131" t="s">
        <v>103</v>
      </c>
      <c r="D69" s="141">
        <f>NPV('Datos Cotización 1'!$C$12,'Simulador VAN Cotización 1'!D67:Q67)</f>
        <v>0</v>
      </c>
      <c r="F69" s="120"/>
      <c r="G69" s="120"/>
      <c r="H69" s="120"/>
      <c r="I69" s="120"/>
      <c r="J69" s="120"/>
      <c r="K69" s="120"/>
      <c r="L69" s="120"/>
      <c r="M69" s="120"/>
      <c r="N69" s="120"/>
      <c r="O69" s="120"/>
      <c r="P69" s="120"/>
      <c r="Q69" s="120"/>
    </row>
    <row r="70" spans="1:17" x14ac:dyDescent="0.25">
      <c r="B70" s="123"/>
      <c r="C70" s="131"/>
      <c r="D70" s="140"/>
      <c r="E70" s="123"/>
      <c r="F70" s="120"/>
      <c r="G70" s="120"/>
      <c r="H70" s="120"/>
      <c r="I70" s="120"/>
      <c r="J70" s="120"/>
      <c r="K70" s="120"/>
      <c r="L70" s="120"/>
      <c r="M70" s="120"/>
      <c r="N70" s="120"/>
      <c r="O70" s="120"/>
      <c r="P70" s="120"/>
      <c r="Q70" s="120"/>
    </row>
    <row r="72" spans="1:17" x14ac:dyDescent="0.25">
      <c r="A72" s="79" t="s">
        <v>166</v>
      </c>
      <c r="B72" s="123" t="s">
        <v>272</v>
      </c>
      <c r="C72" s="139"/>
      <c r="D72" s="120"/>
      <c r="E72" s="120"/>
      <c r="F72" s="120"/>
      <c r="G72" s="120"/>
      <c r="H72" s="120"/>
      <c r="I72" s="120"/>
      <c r="J72" s="120"/>
      <c r="K72" s="120"/>
      <c r="L72" s="120"/>
      <c r="M72" s="120"/>
      <c r="N72" s="120"/>
      <c r="O72" s="120"/>
      <c r="P72" s="120"/>
      <c r="Q72" s="120"/>
    </row>
    <row r="73" spans="1:17" x14ac:dyDescent="0.25">
      <c r="B73" s="120"/>
      <c r="C73" s="130"/>
      <c r="D73" s="120"/>
      <c r="E73" s="120"/>
      <c r="F73" s="120"/>
      <c r="G73" s="120"/>
      <c r="H73" s="120"/>
      <c r="I73" s="120"/>
      <c r="J73" s="120"/>
      <c r="K73" s="120"/>
      <c r="L73" s="120"/>
      <c r="M73" s="120"/>
      <c r="N73" s="120"/>
      <c r="O73" s="120"/>
      <c r="P73" s="120"/>
      <c r="Q73" s="120"/>
    </row>
    <row r="74" spans="1:17" x14ac:dyDescent="0.25">
      <c r="B74" s="120" t="s">
        <v>112</v>
      </c>
      <c r="C74" s="130" t="s">
        <v>103</v>
      </c>
      <c r="D74" s="121">
        <f>D$10</f>
        <v>0</v>
      </c>
      <c r="E74" s="121">
        <f t="shared" ref="E74:Q74" si="11">E$10</f>
        <v>0</v>
      </c>
      <c r="F74" s="121">
        <f t="shared" si="11"/>
        <v>0</v>
      </c>
      <c r="G74" s="121">
        <f t="shared" si="11"/>
        <v>0</v>
      </c>
      <c r="H74" s="121">
        <f t="shared" si="11"/>
        <v>0</v>
      </c>
      <c r="I74" s="121">
        <f t="shared" si="11"/>
        <v>0</v>
      </c>
      <c r="J74" s="121">
        <f t="shared" si="11"/>
        <v>0</v>
      </c>
      <c r="K74" s="121">
        <f t="shared" si="11"/>
        <v>0</v>
      </c>
      <c r="L74" s="121">
        <f t="shared" si="11"/>
        <v>0</v>
      </c>
      <c r="M74" s="121">
        <f t="shared" si="11"/>
        <v>0</v>
      </c>
      <c r="N74" s="121">
        <f t="shared" si="11"/>
        <v>0</v>
      </c>
      <c r="O74" s="121">
        <f t="shared" si="11"/>
        <v>0</v>
      </c>
      <c r="P74" s="121">
        <f t="shared" si="11"/>
        <v>0</v>
      </c>
      <c r="Q74" s="121">
        <f t="shared" si="11"/>
        <v>0</v>
      </c>
    </row>
    <row r="75" spans="1:17" x14ac:dyDescent="0.25">
      <c r="B75" s="120" t="s">
        <v>121</v>
      </c>
      <c r="C75" s="130" t="s">
        <v>103</v>
      </c>
      <c r="D75" s="121">
        <f t="shared" ref="D75:Q75" si="12">-D44</f>
        <v>0</v>
      </c>
      <c r="E75" s="121">
        <f t="shared" si="12"/>
        <v>0</v>
      </c>
      <c r="F75" s="121">
        <f t="shared" si="12"/>
        <v>0</v>
      </c>
      <c r="G75" s="121">
        <f t="shared" si="12"/>
        <v>0</v>
      </c>
      <c r="H75" s="121">
        <f t="shared" si="12"/>
        <v>0</v>
      </c>
      <c r="I75" s="121">
        <f t="shared" si="12"/>
        <v>0</v>
      </c>
      <c r="J75" s="121">
        <f t="shared" si="12"/>
        <v>0</v>
      </c>
      <c r="K75" s="121">
        <f t="shared" si="12"/>
        <v>0</v>
      </c>
      <c r="L75" s="121">
        <f t="shared" si="12"/>
        <v>0</v>
      </c>
      <c r="M75" s="121">
        <f t="shared" si="12"/>
        <v>0</v>
      </c>
      <c r="N75" s="121">
        <f t="shared" si="12"/>
        <v>0</v>
      </c>
      <c r="O75" s="121">
        <f t="shared" si="12"/>
        <v>0</v>
      </c>
      <c r="P75" s="121">
        <f t="shared" si="12"/>
        <v>0</v>
      </c>
      <c r="Q75" s="121">
        <f t="shared" si="12"/>
        <v>0</v>
      </c>
    </row>
    <row r="76" spans="1:17" x14ac:dyDescent="0.25">
      <c r="B76" s="120"/>
      <c r="C76" s="130"/>
      <c r="D76" s="120"/>
      <c r="E76" s="120"/>
      <c r="F76" s="120"/>
      <c r="G76" s="120"/>
      <c r="H76" s="120"/>
      <c r="I76" s="120"/>
      <c r="J76" s="120"/>
      <c r="K76" s="121"/>
      <c r="L76" s="120"/>
      <c r="M76" s="120"/>
      <c r="N76" s="120"/>
      <c r="O76" s="120"/>
      <c r="P76" s="120"/>
      <c r="Q76" s="120"/>
    </row>
    <row r="77" spans="1:17" x14ac:dyDescent="0.25">
      <c r="B77" s="123" t="s">
        <v>207</v>
      </c>
      <c r="C77" s="130" t="s">
        <v>103</v>
      </c>
      <c r="D77" s="122">
        <f>D74+D75</f>
        <v>0</v>
      </c>
      <c r="E77" s="122">
        <f t="shared" ref="E77:Q77" si="13">E74+E75</f>
        <v>0</v>
      </c>
      <c r="F77" s="122">
        <f t="shared" si="13"/>
        <v>0</v>
      </c>
      <c r="G77" s="122">
        <f t="shared" si="13"/>
        <v>0</v>
      </c>
      <c r="H77" s="122">
        <f t="shared" si="13"/>
        <v>0</v>
      </c>
      <c r="I77" s="122">
        <f t="shared" si="13"/>
        <v>0</v>
      </c>
      <c r="J77" s="122">
        <f t="shared" si="13"/>
        <v>0</v>
      </c>
      <c r="K77" s="122">
        <f t="shared" si="13"/>
        <v>0</v>
      </c>
      <c r="L77" s="122">
        <f t="shared" si="13"/>
        <v>0</v>
      </c>
      <c r="M77" s="122">
        <f t="shared" si="13"/>
        <v>0</v>
      </c>
      <c r="N77" s="122">
        <f t="shared" si="13"/>
        <v>0</v>
      </c>
      <c r="O77" s="122">
        <f t="shared" si="13"/>
        <v>0</v>
      </c>
      <c r="P77" s="122">
        <f t="shared" si="13"/>
        <v>0</v>
      </c>
      <c r="Q77" s="122">
        <f t="shared" si="13"/>
        <v>0</v>
      </c>
    </row>
    <row r="78" spans="1:17" x14ac:dyDescent="0.25">
      <c r="B78" s="120"/>
      <c r="C78" s="130"/>
      <c r="D78" s="120"/>
      <c r="E78" s="120"/>
      <c r="F78" s="120"/>
      <c r="G78" s="120"/>
      <c r="H78" s="120"/>
      <c r="I78" s="120"/>
      <c r="J78" s="120"/>
      <c r="K78" s="120"/>
      <c r="L78" s="120"/>
      <c r="M78" s="120"/>
      <c r="N78" s="120"/>
      <c r="O78" s="120"/>
      <c r="P78" s="120"/>
      <c r="Q78" s="120"/>
    </row>
    <row r="79" spans="1:17" x14ac:dyDescent="0.25">
      <c r="B79" s="123" t="s">
        <v>208</v>
      </c>
      <c r="C79" s="131" t="s">
        <v>103</v>
      </c>
      <c r="D79" s="141">
        <f>NPV('Datos Cotización 1'!$C$12,'Simulador VAN Cotización 1'!D77:Q77)</f>
        <v>0</v>
      </c>
      <c r="E79" s="120"/>
      <c r="F79" s="120"/>
      <c r="G79" s="120"/>
      <c r="H79" s="120"/>
      <c r="I79" s="120"/>
      <c r="J79" s="120"/>
      <c r="K79" s="120"/>
      <c r="L79" s="120"/>
      <c r="M79" s="120"/>
      <c r="N79" s="120"/>
      <c r="O79" s="120"/>
      <c r="P79" s="120"/>
      <c r="Q79" s="120"/>
    </row>
    <row r="80" spans="1:17" x14ac:dyDescent="0.25">
      <c r="B80" s="120"/>
      <c r="C80" s="130"/>
      <c r="D80" s="120"/>
      <c r="E80" s="120"/>
      <c r="F80" s="120"/>
      <c r="G80" s="120"/>
      <c r="H80" s="120"/>
      <c r="I80" s="120"/>
      <c r="J80" s="120"/>
      <c r="K80" s="120"/>
      <c r="L80" s="120"/>
      <c r="M80" s="120"/>
      <c r="N80" s="120"/>
      <c r="O80" s="120"/>
      <c r="P80" s="120"/>
      <c r="Q80" s="120"/>
    </row>
    <row r="81" spans="2:10" x14ac:dyDescent="0.25">
      <c r="B81" s="84"/>
      <c r="C81" s="137"/>
      <c r="D81" s="101"/>
    </row>
    <row r="83" spans="2:10" x14ac:dyDescent="0.25">
      <c r="B83" s="167" t="s">
        <v>249</v>
      </c>
      <c r="C83" s="167"/>
      <c r="D83" s="167"/>
      <c r="E83" s="167"/>
      <c r="F83" s="167"/>
      <c r="G83" s="167"/>
      <c r="H83" s="167"/>
      <c r="I83" s="167"/>
      <c r="J83" s="167"/>
    </row>
    <row r="84" spans="2:10" x14ac:dyDescent="0.25">
      <c r="B84" s="167"/>
      <c r="C84" s="167"/>
      <c r="D84" s="167"/>
      <c r="E84" s="167"/>
      <c r="F84" s="167"/>
      <c r="G84" s="167"/>
      <c r="H84" s="167"/>
      <c r="I84" s="167"/>
      <c r="J84" s="167"/>
    </row>
    <row r="85" spans="2:10" x14ac:dyDescent="0.25">
      <c r="B85" s="167"/>
      <c r="C85" s="167"/>
      <c r="D85" s="167"/>
      <c r="E85" s="167"/>
      <c r="F85" s="167"/>
      <c r="G85" s="167"/>
      <c r="H85" s="167"/>
      <c r="I85" s="167"/>
      <c r="J85" s="167"/>
    </row>
    <row r="86" spans="2:10" x14ac:dyDescent="0.25">
      <c r="B86" s="167"/>
      <c r="C86" s="167"/>
      <c r="D86" s="167"/>
      <c r="E86" s="167"/>
      <c r="F86" s="167"/>
      <c r="G86" s="167"/>
      <c r="H86" s="167"/>
      <c r="I86" s="167"/>
      <c r="J86" s="167"/>
    </row>
    <row r="87" spans="2:10" ht="50.25" customHeight="1" x14ac:dyDescent="0.25">
      <c r="B87" s="167"/>
      <c r="C87" s="167"/>
      <c r="D87" s="167"/>
      <c r="E87" s="167"/>
      <c r="F87" s="167"/>
      <c r="G87" s="167"/>
      <c r="H87" s="167"/>
      <c r="I87" s="167"/>
      <c r="J87" s="167"/>
    </row>
  </sheetData>
  <sheetProtection algorithmName="SHA-512" hashValue="hycYMyRpptuBV8pkTyUufJ22PFwxMnVlaNVDR5xdDHZS6baRus5vkeeSfR3ZT3CaduqEoh26QBVpo2Rp4MWYOQ==" saltValue="inlvLp6Gt1GZ4lj02SJ3mw==" spinCount="100000" sheet="1" objects="1" scenarios="1"/>
  <mergeCells count="1">
    <mergeCell ref="B83:J8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4"/>
  <sheetViews>
    <sheetView workbookViewId="0">
      <selection activeCell="B22" sqref="B22"/>
    </sheetView>
  </sheetViews>
  <sheetFormatPr baseColWidth="10" defaultRowHeight="15" outlineLevelRow="1" x14ac:dyDescent="0.25"/>
  <cols>
    <col min="1" max="1" width="11.42578125" style="61"/>
    <col min="2" max="2" width="68.140625" style="61" customWidth="1"/>
    <col min="3" max="3" width="6.42578125" style="75" customWidth="1"/>
    <col min="4" max="4" width="17.5703125" style="61" bestFit="1" customWidth="1"/>
    <col min="5" max="17" width="15.5703125" style="61" bestFit="1" customWidth="1"/>
    <col min="18" max="16384" width="11.42578125" style="61"/>
  </cols>
  <sheetData>
    <row r="2" spans="1:19" ht="20.25" x14ac:dyDescent="0.3">
      <c r="B2" s="73" t="s">
        <v>273</v>
      </c>
      <c r="C2" s="125"/>
    </row>
    <row r="3" spans="1:19" ht="15.75" x14ac:dyDescent="0.25">
      <c r="B3" s="112" t="s">
        <v>209</v>
      </c>
      <c r="C3" s="127"/>
    </row>
    <row r="5" spans="1:19" ht="15.75" x14ac:dyDescent="0.25">
      <c r="B5" s="74"/>
      <c r="C5" s="126"/>
    </row>
    <row r="6" spans="1:19" s="75" customFormat="1" x14ac:dyDescent="0.25">
      <c r="B6" s="76" t="s">
        <v>16</v>
      </c>
      <c r="C6" s="77"/>
      <c r="D6" s="77">
        <v>1</v>
      </c>
      <c r="E6" s="77">
        <f>+D6+1</f>
        <v>2</v>
      </c>
      <c r="F6" s="77">
        <f t="shared" ref="F6:Q6" si="0">+E6+1</f>
        <v>3</v>
      </c>
      <c r="G6" s="77">
        <f t="shared" si="0"/>
        <v>4</v>
      </c>
      <c r="H6" s="77">
        <f t="shared" si="0"/>
        <v>5</v>
      </c>
      <c r="I6" s="77">
        <f t="shared" si="0"/>
        <v>6</v>
      </c>
      <c r="J6" s="77">
        <f t="shared" si="0"/>
        <v>7</v>
      </c>
      <c r="K6" s="77">
        <f t="shared" si="0"/>
        <v>8</v>
      </c>
      <c r="L6" s="77">
        <f t="shared" si="0"/>
        <v>9</v>
      </c>
      <c r="M6" s="77">
        <f t="shared" si="0"/>
        <v>10</v>
      </c>
      <c r="N6" s="77">
        <f t="shared" si="0"/>
        <v>11</v>
      </c>
      <c r="O6" s="77">
        <f t="shared" si="0"/>
        <v>12</v>
      </c>
      <c r="P6" s="77">
        <f t="shared" si="0"/>
        <v>13</v>
      </c>
      <c r="Q6" s="77">
        <f t="shared" si="0"/>
        <v>14</v>
      </c>
    </row>
    <row r="8" spans="1:19" x14ac:dyDescent="0.25">
      <c r="A8" s="79" t="s">
        <v>159</v>
      </c>
      <c r="B8" s="79" t="s">
        <v>263</v>
      </c>
      <c r="C8" s="128"/>
    </row>
    <row r="10" spans="1:19" x14ac:dyDescent="0.25">
      <c r="B10" s="61" t="s">
        <v>265</v>
      </c>
      <c r="C10" s="75" t="s">
        <v>103</v>
      </c>
      <c r="D10" s="78">
        <f>'Datos Cotización 2'!$C$21*IF(D$6=1,'Datos Cotización 2'!$C$11,1)</f>
        <v>0</v>
      </c>
      <c r="E10" s="78">
        <f>'Datos Cotización 2'!$C$21*IF(E$6=1,'Datos Cotización 2'!$C$11,1)</f>
        <v>0</v>
      </c>
      <c r="F10" s="78">
        <f>'Datos Cotización 2'!$C$21*IF(F$6=1,'Datos Cotización 2'!$C$11,1)</f>
        <v>0</v>
      </c>
      <c r="G10" s="78">
        <f>'Datos Cotización 2'!$C$21*IF(G$6=1,'Datos Cotización 2'!$C$11,1)</f>
        <v>0</v>
      </c>
      <c r="H10" s="78">
        <f>'Datos Cotización 2'!$C$21*IF(H$6=1,'Datos Cotización 2'!$C$11,1)</f>
        <v>0</v>
      </c>
      <c r="I10" s="78">
        <f>'Datos Cotización 2'!$C$21*IF(I$6=1,'Datos Cotización 2'!$C$11,1)</f>
        <v>0</v>
      </c>
      <c r="J10" s="78">
        <f>'Datos Cotización 2'!$C$21*IF(J$6=1,'Datos Cotización 2'!$C$11,1)</f>
        <v>0</v>
      </c>
      <c r="K10" s="78">
        <f>'Datos Cotización 2'!$C$21*IF(K$6=1,'Datos Cotización 2'!$C$11,1)</f>
        <v>0</v>
      </c>
      <c r="L10" s="78">
        <f>'Datos Cotización 2'!$C$21*IF(L$6=1,'Datos Cotización 2'!$C$11,1)</f>
        <v>0</v>
      </c>
      <c r="M10" s="78">
        <f>'Datos Cotización 2'!$C$21*IF(M$6=1,'Datos Cotización 2'!$C$11,1)</f>
        <v>0</v>
      </c>
      <c r="N10" s="78">
        <f>'Datos Cotización 2'!$C$21*IF(N$6=1,'Datos Cotización 2'!$C$11,1)</f>
        <v>0</v>
      </c>
      <c r="O10" s="78">
        <f>'Datos Cotización 2'!$C$21*IF(O$6=1,'Datos Cotización 2'!$C$11,1)</f>
        <v>0</v>
      </c>
      <c r="P10" s="78">
        <f>'Datos Cotización 2'!$C$21*IF(P$6=1,'Datos Cotización 2'!$C$11,1)</f>
        <v>0</v>
      </c>
      <c r="Q10" s="78">
        <f>'Datos Cotización 2'!$C$21*IF(Q$6=1,'Datos Cotización 2'!$C$11,1)</f>
        <v>0</v>
      </c>
      <c r="R10" s="78"/>
      <c r="S10" s="78"/>
    </row>
    <row r="12" spans="1:19" x14ac:dyDescent="0.25">
      <c r="A12" s="79" t="s">
        <v>160</v>
      </c>
      <c r="B12" s="79" t="s">
        <v>264</v>
      </c>
    </row>
    <row r="13" spans="1:19" x14ac:dyDescent="0.25">
      <c r="A13" s="79"/>
    </row>
    <row r="14" spans="1:19" x14ac:dyDescent="0.25">
      <c r="A14" s="124" t="s">
        <v>161</v>
      </c>
      <c r="B14" s="79" t="s">
        <v>266</v>
      </c>
      <c r="C14" s="136"/>
      <c r="D14" s="80"/>
      <c r="E14" s="80"/>
      <c r="F14" s="80"/>
      <c r="G14" s="80"/>
      <c r="H14" s="80"/>
      <c r="I14" s="80"/>
      <c r="J14" s="80"/>
      <c r="K14" s="80"/>
      <c r="L14" s="80"/>
      <c r="M14" s="80"/>
      <c r="N14" s="80"/>
      <c r="O14" s="80"/>
      <c r="P14" s="80"/>
      <c r="Q14" s="80"/>
    </row>
    <row r="15" spans="1:19" x14ac:dyDescent="0.25">
      <c r="E15" s="81"/>
    </row>
    <row r="16" spans="1:19" x14ac:dyDescent="0.25">
      <c r="B16" s="61" t="s">
        <v>196</v>
      </c>
      <c r="C16" s="75" t="s">
        <v>103</v>
      </c>
      <c r="D16" s="82">
        <f>D10*'Datos Cotización 2'!$C$13</f>
        <v>0</v>
      </c>
      <c r="E16" s="82">
        <f>E10*'Datos Cotización 2'!$C$13</f>
        <v>0</v>
      </c>
      <c r="F16" s="82">
        <f>F10*'Datos Cotización 2'!$C$13</f>
        <v>0</v>
      </c>
      <c r="G16" s="82">
        <f>G10*'Datos Cotización 2'!$C$13</f>
        <v>0</v>
      </c>
      <c r="H16" s="82">
        <f>H10*'Datos Cotización 2'!$C$13</f>
        <v>0</v>
      </c>
      <c r="I16" s="82">
        <f>I10*'Datos Cotización 2'!$C$13</f>
        <v>0</v>
      </c>
      <c r="J16" s="82">
        <f>J10*'Datos Cotización 2'!$C$13</f>
        <v>0</v>
      </c>
      <c r="K16" s="82">
        <f>K10*'Datos Cotización 2'!$C$13</f>
        <v>0</v>
      </c>
      <c r="L16" s="82">
        <f>L10*'Datos Cotización 2'!$C$13</f>
        <v>0</v>
      </c>
      <c r="M16" s="82">
        <f>M10*'Datos Cotización 2'!$C$13</f>
        <v>0</v>
      </c>
      <c r="N16" s="82">
        <f>N10*'Datos Cotización 2'!$C$13</f>
        <v>0</v>
      </c>
      <c r="O16" s="82">
        <f>O10*'Datos Cotización 2'!$C$13</f>
        <v>0</v>
      </c>
      <c r="P16" s="82">
        <f>P10*'Datos Cotización 2'!$C$13</f>
        <v>0</v>
      </c>
      <c r="Q16" s="82">
        <f>Q10*'Datos Cotización 2'!$C$13</f>
        <v>0</v>
      </c>
    </row>
    <row r="17" spans="1:17" x14ac:dyDescent="0.25">
      <c r="B17" s="61" t="s">
        <v>197</v>
      </c>
      <c r="C17" s="75" t="s">
        <v>103</v>
      </c>
      <c r="D17" s="78">
        <f>NPV('Datos Cotización 2'!$C$12,'Simulador VAN Cotización 2'!$D16:D16)</f>
        <v>0</v>
      </c>
      <c r="E17" s="78">
        <f>NPV('Datos Cotización 2'!$C$12,'Simulador VAN Cotización 2'!$D16:E16)</f>
        <v>0</v>
      </c>
      <c r="F17" s="78">
        <f>NPV('Datos Cotización 2'!$C$12,'Simulador VAN Cotización 2'!$D16:F16)</f>
        <v>0</v>
      </c>
      <c r="G17" s="78">
        <f>NPV('Datos Cotización 2'!$C$12,'Simulador VAN Cotización 2'!$D16:G16)</f>
        <v>0</v>
      </c>
      <c r="H17" s="78">
        <f>NPV('Datos Cotización 2'!$C$12,'Simulador VAN Cotización 2'!$D16:H16)</f>
        <v>0</v>
      </c>
      <c r="I17" s="78">
        <f>NPV('Datos Cotización 2'!$C$12,'Simulador VAN Cotización 2'!$D16:I16)</f>
        <v>0</v>
      </c>
      <c r="J17" s="78">
        <f>NPV('Datos Cotización 2'!$C$12,'Simulador VAN Cotización 2'!$D16:J16)</f>
        <v>0</v>
      </c>
      <c r="K17" s="78">
        <f>NPV('Datos Cotización 2'!$C$12,'Simulador VAN Cotización 2'!$D16:K16)</f>
        <v>0</v>
      </c>
      <c r="L17" s="78">
        <f>NPV('Datos Cotización 2'!$C$12,'Simulador VAN Cotización 2'!$D16:L16)</f>
        <v>0</v>
      </c>
      <c r="M17" s="78">
        <f>NPV('Datos Cotización 2'!$C$12,'Simulador VAN Cotización 2'!$D16:M16)</f>
        <v>0</v>
      </c>
      <c r="N17" s="78">
        <f>NPV('Datos Cotización 2'!$C$12,'Simulador VAN Cotización 2'!$D16:N16)</f>
        <v>0</v>
      </c>
      <c r="O17" s="78">
        <f>NPV('Datos Cotización 2'!$C$12,'Simulador VAN Cotización 2'!$D16:O16)</f>
        <v>0</v>
      </c>
      <c r="P17" s="78">
        <f>NPV('Datos Cotización 2'!$C$12,'Simulador VAN Cotización 2'!$D16:P16)</f>
        <v>0</v>
      </c>
      <c r="Q17" s="78">
        <f>NPV('Datos Cotización 2'!$C$12,'Simulador VAN Cotización 2'!$D16:Q16)</f>
        <v>0</v>
      </c>
    </row>
    <row r="18" spans="1:17" x14ac:dyDescent="0.25">
      <c r="D18" s="78"/>
      <c r="E18" s="78"/>
      <c r="F18" s="78"/>
      <c r="G18" s="78"/>
      <c r="H18" s="78"/>
      <c r="I18" s="78"/>
      <c r="J18" s="78"/>
      <c r="K18" s="78"/>
      <c r="L18" s="78"/>
      <c r="M18" s="78"/>
      <c r="N18" s="78"/>
      <c r="O18" s="78"/>
      <c r="P18" s="78"/>
      <c r="Q18" s="78"/>
    </row>
    <row r="19" spans="1:17" x14ac:dyDescent="0.25">
      <c r="B19" s="61" t="s">
        <v>191</v>
      </c>
      <c r="C19" s="75" t="s">
        <v>103</v>
      </c>
      <c r="D19" s="78">
        <f>+'Datos Cotización 2'!G33</f>
        <v>0</v>
      </c>
      <c r="E19" s="81"/>
    </row>
    <row r="20" spans="1:17" x14ac:dyDescent="0.25">
      <c r="D20" s="78"/>
      <c r="E20" s="81"/>
    </row>
    <row r="21" spans="1:17" x14ac:dyDescent="0.25">
      <c r="B21" s="61" t="s">
        <v>267</v>
      </c>
      <c r="D21" s="75">
        <f>IF(D17&lt;=$D$19,1,IF(AND(B17&lt;$D$19,D17&gt;$D$19),1,0))</f>
        <v>1</v>
      </c>
      <c r="E21" s="75">
        <f t="shared" ref="E21:J21" si="1">IF(E17&lt;=$D$19,1,IF(AND(D17&lt;$D$19,E17&gt;$D$19),1,0))</f>
        <v>1</v>
      </c>
      <c r="F21" s="75">
        <f t="shared" si="1"/>
        <v>1</v>
      </c>
      <c r="G21" s="75">
        <f t="shared" si="1"/>
        <v>1</v>
      </c>
      <c r="H21" s="75">
        <f t="shared" si="1"/>
        <v>1</v>
      </c>
      <c r="I21" s="75">
        <f t="shared" si="1"/>
        <v>1</v>
      </c>
      <c r="J21" s="75">
        <f t="shared" si="1"/>
        <v>1</v>
      </c>
      <c r="K21" s="75">
        <f t="shared" ref="K21:Q21" si="2">IF(K17&lt;=$D$19,1,IF(AND(J17&lt;$D$19,K17&gt;$D$19),1,0))</f>
        <v>1</v>
      </c>
      <c r="L21" s="75">
        <f t="shared" si="2"/>
        <v>1</v>
      </c>
      <c r="M21" s="75">
        <f t="shared" si="2"/>
        <v>1</v>
      </c>
      <c r="N21" s="75">
        <f t="shared" si="2"/>
        <v>1</v>
      </c>
      <c r="O21" s="75">
        <f t="shared" si="2"/>
        <v>1</v>
      </c>
      <c r="P21" s="75">
        <f t="shared" si="2"/>
        <v>1</v>
      </c>
      <c r="Q21" s="75">
        <f t="shared" si="2"/>
        <v>1</v>
      </c>
    </row>
    <row r="22" spans="1:17" x14ac:dyDescent="0.25">
      <c r="B22" s="61" t="s">
        <v>192</v>
      </c>
      <c r="C22" s="75" t="s">
        <v>268</v>
      </c>
      <c r="D22" s="138">
        <f>SUM(D21:Q21)</f>
        <v>14</v>
      </c>
    </row>
    <row r="24" spans="1:17" x14ac:dyDescent="0.25">
      <c r="B24" s="61" t="s">
        <v>194</v>
      </c>
      <c r="C24" s="75" t="s">
        <v>103</v>
      </c>
      <c r="D24" s="78">
        <f t="shared" ref="D24:Q24" si="3">IF(D$6&lt;=$D$22,D16,0)</f>
        <v>0</v>
      </c>
      <c r="E24" s="78">
        <f t="shared" si="3"/>
        <v>0</v>
      </c>
      <c r="F24" s="78">
        <f t="shared" si="3"/>
        <v>0</v>
      </c>
      <c r="G24" s="78">
        <f t="shared" si="3"/>
        <v>0</v>
      </c>
      <c r="H24" s="78">
        <f t="shared" si="3"/>
        <v>0</v>
      </c>
      <c r="I24" s="78">
        <f t="shared" si="3"/>
        <v>0</v>
      </c>
      <c r="J24" s="78">
        <f t="shared" si="3"/>
        <v>0</v>
      </c>
      <c r="K24" s="78">
        <f t="shared" si="3"/>
        <v>0</v>
      </c>
      <c r="L24" s="78">
        <f t="shared" si="3"/>
        <v>0</v>
      </c>
      <c r="M24" s="78">
        <f t="shared" si="3"/>
        <v>0</v>
      </c>
      <c r="N24" s="78">
        <f t="shared" si="3"/>
        <v>0</v>
      </c>
      <c r="O24" s="78">
        <f t="shared" si="3"/>
        <v>0</v>
      </c>
      <c r="P24" s="78">
        <f t="shared" si="3"/>
        <v>0</v>
      </c>
      <c r="Q24" s="78">
        <f t="shared" si="3"/>
        <v>0</v>
      </c>
    </row>
    <row r="25" spans="1:17" x14ac:dyDescent="0.25">
      <c r="B25" s="61" t="s">
        <v>193</v>
      </c>
      <c r="C25" s="75" t="s">
        <v>103</v>
      </c>
      <c r="D25" s="78">
        <f>NPV('Datos Cotización 2'!$C$12,'Simulador VAN Cotización 2'!$D24:D24)</f>
        <v>0</v>
      </c>
      <c r="E25" s="78">
        <f>NPV('Datos Cotización 2'!$C$12,'Simulador VAN Cotización 2'!$D24:E24)</f>
        <v>0</v>
      </c>
      <c r="F25" s="78">
        <f>NPV('Datos Cotización 2'!$C$12,'Simulador VAN Cotización 2'!$D24:F24)</f>
        <v>0</v>
      </c>
      <c r="G25" s="78">
        <f>NPV('Datos Cotización 2'!$C$12,'Simulador VAN Cotización 2'!$D24:G24)</f>
        <v>0</v>
      </c>
      <c r="H25" s="78">
        <f>NPV('Datos Cotización 2'!$C$12,'Simulador VAN Cotización 2'!$D24:H24)</f>
        <v>0</v>
      </c>
      <c r="I25" s="78">
        <f>NPV('Datos Cotización 2'!$C$12,'Simulador VAN Cotización 2'!$D24:I24)</f>
        <v>0</v>
      </c>
      <c r="J25" s="78">
        <f>NPV('Datos Cotización 2'!$C$12,'Simulador VAN Cotización 2'!$D24:J24)</f>
        <v>0</v>
      </c>
      <c r="K25" s="78">
        <f>NPV('Datos Cotización 2'!$C$12,'Simulador VAN Cotización 2'!$D24:K24)</f>
        <v>0</v>
      </c>
      <c r="L25" s="78">
        <f>NPV('Datos Cotización 2'!$C$12,'Simulador VAN Cotización 2'!$D24:L24)</f>
        <v>0</v>
      </c>
      <c r="M25" s="78">
        <f>NPV('Datos Cotización 2'!$C$12,'Simulador VAN Cotización 2'!$D24:M24)</f>
        <v>0</v>
      </c>
      <c r="N25" s="78">
        <f>NPV('Datos Cotización 2'!$C$12,'Simulador VAN Cotización 2'!$D24:N24)</f>
        <v>0</v>
      </c>
      <c r="O25" s="78">
        <f>NPV('Datos Cotización 2'!$C$12,'Simulador VAN Cotización 2'!$D24:O24)</f>
        <v>0</v>
      </c>
      <c r="P25" s="78">
        <f>NPV('Datos Cotización 2'!$C$12,'Simulador VAN Cotización 2'!$D24:P24)</f>
        <v>0</v>
      </c>
      <c r="Q25" s="78">
        <f>NPV('Datos Cotización 2'!$C$12,'Simulador VAN Cotización 2'!$D24:Q24)</f>
        <v>0</v>
      </c>
    </row>
    <row r="26" spans="1:17" x14ac:dyDescent="0.25">
      <c r="D26" s="78"/>
      <c r="E26" s="78"/>
      <c r="F26" s="78"/>
      <c r="G26" s="78"/>
      <c r="H26" s="78"/>
      <c r="I26" s="78"/>
      <c r="J26" s="78"/>
      <c r="K26" s="78"/>
      <c r="L26" s="78"/>
      <c r="M26" s="78"/>
      <c r="N26" s="78"/>
      <c r="O26" s="78"/>
      <c r="P26" s="78"/>
      <c r="Q26" s="78"/>
    </row>
    <row r="27" spans="1:17" x14ac:dyDescent="0.25">
      <c r="B27" s="79" t="s">
        <v>195</v>
      </c>
      <c r="C27" s="128" t="s">
        <v>103</v>
      </c>
      <c r="D27" s="119">
        <f>IF(D$6&lt;$D$22,D24,IF(D$6=$D$22,($D$19-B25)*((1+'Datos Cotización 2'!$C$12)^('Simulador VAN Cotización 2'!D$6)),0))</f>
        <v>0</v>
      </c>
      <c r="E27" s="119">
        <f>IF(E$6&lt;$D$22,E24,IF(E$6=$D$22,($D$19-D25)*((1+'Datos Cotización 2'!$C$12)^('Simulador VAN Cotización 2'!E$6)),0))</f>
        <v>0</v>
      </c>
      <c r="F27" s="119">
        <f>IF(F$6&lt;$D$22,F24,IF(F$6=$D$22,($D$19-E25)*((1+'Datos Cotización 2'!$C$12)^('Simulador VAN Cotización 2'!F$6)),0))</f>
        <v>0</v>
      </c>
      <c r="G27" s="119">
        <f>IF(G$6&lt;$D$22,G24,IF(G$6=$D$22,($D$19-F25)*((1+'Datos Cotización 2'!$C$12)^('Simulador VAN Cotización 2'!G$6)),0))</f>
        <v>0</v>
      </c>
      <c r="H27" s="119">
        <f>IF(H$6&lt;$D$22,H24,IF(H$6=$D$22,($D$19-G25)*((1+'Datos Cotización 2'!$C$12)^('Simulador VAN Cotización 2'!H$6)),0))</f>
        <v>0</v>
      </c>
      <c r="I27" s="119">
        <f>IF(I$6&lt;$D$22,I24,IF(I$6=$D$22,($D$19-H25)*((1+'Datos Cotización 2'!$C$12)^('Simulador VAN Cotización 2'!I$6)),0))</f>
        <v>0</v>
      </c>
      <c r="J27" s="119">
        <f>IF(J$6&lt;$D$22,J24,IF(J$6=$D$22,($D$19-I25)*((1+'Datos Cotización 2'!$C$12)^('Simulador VAN Cotización 2'!J$6)),0))</f>
        <v>0</v>
      </c>
      <c r="K27" s="119">
        <f>IF(K$6&lt;$D$22,K24,IF(K$6=$D$22,($D$19-J25)*((1+'Datos Cotización 2'!$C$12)^('Simulador VAN Cotización 2'!K$6)),0))</f>
        <v>0</v>
      </c>
      <c r="L27" s="119">
        <f>IF(L$6&lt;$D$22,L24,IF(L$6=$D$22,($D$19-K25)*((1+'Datos Cotización 2'!$C$12)^('Simulador VAN Cotización 2'!L$6)),0))</f>
        <v>0</v>
      </c>
      <c r="M27" s="119">
        <f>IF(M$6&lt;$D$22,M24,IF(M$6=$D$22,($D$19-L25)*((1+'Datos Cotización 2'!$C$12)^('Simulador VAN Cotización 2'!M$6)),0))</f>
        <v>0</v>
      </c>
      <c r="N27" s="119">
        <f>IF(N$6&lt;$D$22,N24,IF(N$6=$D$22,($D$19-M25)*((1+'Datos Cotización 2'!$C$12)^('Simulador VAN Cotización 2'!N$6)),0))</f>
        <v>0</v>
      </c>
      <c r="O27" s="119">
        <f>IF(O$6&lt;$D$22,O24,IF(O$6=$D$22,($D$19-N25)*((1+'Datos Cotización 2'!$C$12)^('Simulador VAN Cotización 2'!O$6)),0))</f>
        <v>0</v>
      </c>
      <c r="P27" s="119">
        <f>IF(P$6&lt;$D$22,P24,IF(P$6=$D$22,($D$19-O25)*((1+'Datos Cotización 2'!$C$12)^('Simulador VAN Cotización 2'!P$6)),0))</f>
        <v>0</v>
      </c>
      <c r="Q27" s="119">
        <f>IF(Q$6&lt;$D$22,Q24,IF(Q$6=$D$22,($D$19-P25)*((1+'Datos Cotización 2'!$C$12)^('Simulador VAN Cotización 2'!Q$6)),0))</f>
        <v>0</v>
      </c>
    </row>
    <row r="28" spans="1:17" hidden="1" outlineLevel="1" x14ac:dyDescent="0.25">
      <c r="B28" s="61" t="s">
        <v>198</v>
      </c>
      <c r="D28" s="78">
        <f>NPV('Datos Cotización 2'!$C$12,'Simulador VAN Cotización 2'!D27:Q27)</f>
        <v>0</v>
      </c>
      <c r="E28" s="78"/>
      <c r="F28" s="78"/>
      <c r="G28" s="78"/>
      <c r="H28" s="78"/>
      <c r="I28" s="78"/>
      <c r="J28" s="78"/>
      <c r="K28" s="78"/>
      <c r="L28" s="78"/>
      <c r="M28" s="78"/>
      <c r="N28" s="78"/>
      <c r="O28" s="78"/>
      <c r="P28" s="78"/>
      <c r="Q28" s="78"/>
    </row>
    <row r="29" spans="1:17" hidden="1" outlineLevel="1" x14ac:dyDescent="0.25">
      <c r="B29" s="87" t="s">
        <v>199</v>
      </c>
      <c r="C29" s="129"/>
      <c r="D29" s="98">
        <f>+D28-D19</f>
        <v>0</v>
      </c>
      <c r="E29" s="78"/>
      <c r="F29" s="78"/>
      <c r="G29" s="78"/>
      <c r="H29" s="78"/>
      <c r="I29" s="78"/>
      <c r="J29" s="78"/>
      <c r="K29" s="78"/>
      <c r="L29" s="78"/>
      <c r="M29" s="78"/>
      <c r="N29" s="78"/>
      <c r="O29" s="78"/>
      <c r="P29" s="78"/>
      <c r="Q29" s="78"/>
    </row>
    <row r="30" spans="1:17" collapsed="1" x14ac:dyDescent="0.25"/>
    <row r="31" spans="1:17" x14ac:dyDescent="0.25">
      <c r="A31" s="124" t="s">
        <v>162</v>
      </c>
      <c r="B31" s="79" t="s">
        <v>269</v>
      </c>
      <c r="C31" s="136"/>
      <c r="D31" s="80"/>
      <c r="E31" s="80"/>
      <c r="F31" s="80"/>
      <c r="G31" s="80"/>
      <c r="H31" s="80"/>
      <c r="I31" s="80"/>
      <c r="J31" s="80"/>
      <c r="K31" s="80"/>
      <c r="L31" s="80"/>
      <c r="M31" s="80"/>
      <c r="N31" s="80"/>
      <c r="O31" s="80"/>
      <c r="P31" s="80"/>
      <c r="Q31" s="80"/>
    </row>
    <row r="32" spans="1:17" x14ac:dyDescent="0.25">
      <c r="E32" s="81"/>
    </row>
    <row r="33" spans="2:17" x14ac:dyDescent="0.25">
      <c r="B33" s="61" t="s">
        <v>196</v>
      </c>
      <c r="C33" s="75" t="s">
        <v>103</v>
      </c>
      <c r="D33" s="82">
        <f t="shared" ref="D33:Q33" si="4">+D16</f>
        <v>0</v>
      </c>
      <c r="E33" s="82">
        <f t="shared" si="4"/>
        <v>0</v>
      </c>
      <c r="F33" s="82">
        <f t="shared" si="4"/>
        <v>0</v>
      </c>
      <c r="G33" s="82">
        <f t="shared" si="4"/>
        <v>0</v>
      </c>
      <c r="H33" s="82">
        <f t="shared" si="4"/>
        <v>0</v>
      </c>
      <c r="I33" s="82">
        <f t="shared" si="4"/>
        <v>0</v>
      </c>
      <c r="J33" s="82">
        <f t="shared" si="4"/>
        <v>0</v>
      </c>
      <c r="K33" s="82">
        <f t="shared" si="4"/>
        <v>0</v>
      </c>
      <c r="L33" s="82">
        <f t="shared" si="4"/>
        <v>0</v>
      </c>
      <c r="M33" s="82">
        <f t="shared" si="4"/>
        <v>0</v>
      </c>
      <c r="N33" s="82">
        <f t="shared" si="4"/>
        <v>0</v>
      </c>
      <c r="O33" s="82">
        <f t="shared" si="4"/>
        <v>0</v>
      </c>
      <c r="P33" s="82">
        <f t="shared" si="4"/>
        <v>0</v>
      </c>
      <c r="Q33" s="82">
        <f t="shared" si="4"/>
        <v>0</v>
      </c>
    </row>
    <row r="34" spans="2:17" x14ac:dyDescent="0.25">
      <c r="B34" s="61" t="s">
        <v>197</v>
      </c>
      <c r="C34" s="75" t="s">
        <v>103</v>
      </c>
      <c r="D34" s="82">
        <f t="shared" ref="D34:Q34" si="5">+D17</f>
        <v>0</v>
      </c>
      <c r="E34" s="82">
        <f t="shared" si="5"/>
        <v>0</v>
      </c>
      <c r="F34" s="82">
        <f t="shared" si="5"/>
        <v>0</v>
      </c>
      <c r="G34" s="82">
        <f t="shared" si="5"/>
        <v>0</v>
      </c>
      <c r="H34" s="82">
        <f t="shared" si="5"/>
        <v>0</v>
      </c>
      <c r="I34" s="82">
        <f t="shared" si="5"/>
        <v>0</v>
      </c>
      <c r="J34" s="82">
        <f t="shared" si="5"/>
        <v>0</v>
      </c>
      <c r="K34" s="82">
        <f t="shared" si="5"/>
        <v>0</v>
      </c>
      <c r="L34" s="82">
        <f t="shared" si="5"/>
        <v>0</v>
      </c>
      <c r="M34" s="82">
        <f t="shared" si="5"/>
        <v>0</v>
      </c>
      <c r="N34" s="82">
        <f t="shared" si="5"/>
        <v>0</v>
      </c>
      <c r="O34" s="82">
        <f t="shared" si="5"/>
        <v>0</v>
      </c>
      <c r="P34" s="82">
        <f t="shared" si="5"/>
        <v>0</v>
      </c>
      <c r="Q34" s="82">
        <f t="shared" si="5"/>
        <v>0</v>
      </c>
    </row>
    <row r="35" spans="2:17" x14ac:dyDescent="0.25">
      <c r="D35" s="82"/>
      <c r="E35" s="82"/>
      <c r="F35" s="82"/>
      <c r="G35" s="82"/>
      <c r="H35" s="82"/>
      <c r="I35" s="82"/>
      <c r="J35" s="82"/>
      <c r="K35" s="82"/>
      <c r="L35" s="82"/>
      <c r="M35" s="82"/>
      <c r="N35" s="82"/>
      <c r="O35" s="82"/>
      <c r="P35" s="82"/>
      <c r="Q35" s="82"/>
    </row>
    <row r="36" spans="2:17" x14ac:dyDescent="0.25">
      <c r="B36" s="61" t="s">
        <v>270</v>
      </c>
      <c r="C36" s="75" t="s">
        <v>103</v>
      </c>
      <c r="D36" s="78">
        <f>H66</f>
        <v>0</v>
      </c>
      <c r="E36" s="81"/>
    </row>
    <row r="37" spans="2:17" x14ac:dyDescent="0.25">
      <c r="D37" s="78"/>
      <c r="E37" s="81"/>
    </row>
    <row r="38" spans="2:17" x14ac:dyDescent="0.25">
      <c r="B38" s="61" t="s">
        <v>267</v>
      </c>
      <c r="D38" s="75">
        <f>IF(D34&lt;=$D$36,1,IF(AND(B34&lt;$D$36,D34&gt;$D$36),1,0))</f>
        <v>1</v>
      </c>
      <c r="E38" s="75">
        <f t="shared" ref="E38:Q38" si="6">IF(E34&lt;=$D$36,1,IF(AND(D34&lt;$D$36,E34&gt;$D$36),1,0))</f>
        <v>1</v>
      </c>
      <c r="F38" s="75">
        <f t="shared" si="6"/>
        <v>1</v>
      </c>
      <c r="G38" s="75">
        <f t="shared" si="6"/>
        <v>1</v>
      </c>
      <c r="H38" s="75">
        <f t="shared" si="6"/>
        <v>1</v>
      </c>
      <c r="I38" s="75">
        <f t="shared" si="6"/>
        <v>1</v>
      </c>
      <c r="J38" s="75">
        <f t="shared" si="6"/>
        <v>1</v>
      </c>
      <c r="K38" s="75">
        <f t="shared" si="6"/>
        <v>1</v>
      </c>
      <c r="L38" s="75">
        <f t="shared" si="6"/>
        <v>1</v>
      </c>
      <c r="M38" s="75">
        <f t="shared" si="6"/>
        <v>1</v>
      </c>
      <c r="N38" s="75">
        <f t="shared" si="6"/>
        <v>1</v>
      </c>
      <c r="O38" s="75">
        <f t="shared" si="6"/>
        <v>1</v>
      </c>
      <c r="P38" s="75">
        <f t="shared" si="6"/>
        <v>1</v>
      </c>
      <c r="Q38" s="75">
        <f t="shared" si="6"/>
        <v>1</v>
      </c>
    </row>
    <row r="39" spans="2:17" x14ac:dyDescent="0.25">
      <c r="B39" s="61" t="s">
        <v>192</v>
      </c>
      <c r="C39" s="75" t="s">
        <v>268</v>
      </c>
      <c r="D39" s="138">
        <f>SUM(D38:Q38)</f>
        <v>14</v>
      </c>
    </row>
    <row r="41" spans="2:17" x14ac:dyDescent="0.25">
      <c r="B41" s="61" t="s">
        <v>194</v>
      </c>
      <c r="C41" s="75" t="s">
        <v>103</v>
      </c>
      <c r="D41" s="78">
        <f t="shared" ref="D41:Q41" si="7">IF(D$6&lt;=$D$39,D33,0)</f>
        <v>0</v>
      </c>
      <c r="E41" s="78">
        <f t="shared" si="7"/>
        <v>0</v>
      </c>
      <c r="F41" s="78">
        <f t="shared" si="7"/>
        <v>0</v>
      </c>
      <c r="G41" s="78">
        <f t="shared" si="7"/>
        <v>0</v>
      </c>
      <c r="H41" s="78">
        <f t="shared" si="7"/>
        <v>0</v>
      </c>
      <c r="I41" s="78">
        <f t="shared" si="7"/>
        <v>0</v>
      </c>
      <c r="J41" s="78">
        <f t="shared" si="7"/>
        <v>0</v>
      </c>
      <c r="K41" s="78">
        <f t="shared" si="7"/>
        <v>0</v>
      </c>
      <c r="L41" s="78">
        <f t="shared" si="7"/>
        <v>0</v>
      </c>
      <c r="M41" s="78">
        <f t="shared" si="7"/>
        <v>0</v>
      </c>
      <c r="N41" s="78">
        <f t="shared" si="7"/>
        <v>0</v>
      </c>
      <c r="O41" s="78">
        <f t="shared" si="7"/>
        <v>0</v>
      </c>
      <c r="P41" s="78">
        <f t="shared" si="7"/>
        <v>0</v>
      </c>
      <c r="Q41" s="78">
        <f t="shared" si="7"/>
        <v>0</v>
      </c>
    </row>
    <row r="42" spans="2:17" x14ac:dyDescent="0.25">
      <c r="B42" s="61" t="s">
        <v>193</v>
      </c>
      <c r="C42" s="75" t="s">
        <v>103</v>
      </c>
      <c r="D42" s="78">
        <f>NPV('Datos Cotización 2'!$C$12,'Simulador VAN Cotización 2'!$D41:D41)</f>
        <v>0</v>
      </c>
      <c r="E42" s="78">
        <f>NPV('Datos Cotización 2'!$C$12,'Simulador VAN Cotización 2'!$D41:E41)</f>
        <v>0</v>
      </c>
      <c r="F42" s="78">
        <f>NPV('Datos Cotización 2'!$C$12,'Simulador VAN Cotización 2'!$D41:F41)</f>
        <v>0</v>
      </c>
      <c r="G42" s="78">
        <f>NPV('Datos Cotización 2'!$C$12,'Simulador VAN Cotización 2'!$D41:G41)</f>
        <v>0</v>
      </c>
      <c r="H42" s="78">
        <f>NPV('Datos Cotización 2'!$C$12,'Simulador VAN Cotización 2'!$D41:H41)</f>
        <v>0</v>
      </c>
      <c r="I42" s="78">
        <f>NPV('Datos Cotización 2'!$C$12,'Simulador VAN Cotización 2'!$D41:I41)</f>
        <v>0</v>
      </c>
      <c r="J42" s="78">
        <f>NPV('Datos Cotización 2'!$C$12,'Simulador VAN Cotización 2'!$D41:J41)</f>
        <v>0</v>
      </c>
      <c r="K42" s="78">
        <f>NPV('Datos Cotización 2'!$C$12,'Simulador VAN Cotización 2'!$D41:K41)</f>
        <v>0</v>
      </c>
      <c r="L42" s="78">
        <f>NPV('Datos Cotización 2'!$C$12,'Simulador VAN Cotización 2'!$D41:L41)</f>
        <v>0</v>
      </c>
      <c r="M42" s="78">
        <f>NPV('Datos Cotización 2'!$C$12,'Simulador VAN Cotización 2'!$D41:M41)</f>
        <v>0</v>
      </c>
      <c r="N42" s="78">
        <f>NPV('Datos Cotización 2'!$C$12,'Simulador VAN Cotización 2'!$D41:N41)</f>
        <v>0</v>
      </c>
      <c r="O42" s="78">
        <f>NPV('Datos Cotización 2'!$C$12,'Simulador VAN Cotización 2'!$D41:O41)</f>
        <v>0</v>
      </c>
      <c r="P42" s="78">
        <f>NPV('Datos Cotización 2'!$C$12,'Simulador VAN Cotización 2'!$D41:P41)</f>
        <v>0</v>
      </c>
      <c r="Q42" s="78">
        <f>NPV('Datos Cotización 2'!$C$12,'Simulador VAN Cotización 2'!$D41:Q41)</f>
        <v>0</v>
      </c>
    </row>
    <row r="43" spans="2:17" x14ac:dyDescent="0.25">
      <c r="D43" s="78"/>
      <c r="E43" s="78"/>
      <c r="F43" s="78"/>
      <c r="G43" s="78"/>
      <c r="H43" s="78"/>
      <c r="I43" s="78"/>
      <c r="J43" s="78"/>
      <c r="K43" s="78"/>
      <c r="L43" s="78"/>
      <c r="M43" s="78"/>
      <c r="N43" s="78"/>
      <c r="O43" s="78"/>
      <c r="P43" s="78"/>
      <c r="Q43" s="78"/>
    </row>
    <row r="44" spans="2:17" x14ac:dyDescent="0.25">
      <c r="B44" s="79" t="s">
        <v>195</v>
      </c>
      <c r="C44" s="128" t="s">
        <v>103</v>
      </c>
      <c r="D44" s="119">
        <f>IF(D$6&lt;$D$39,D41,IF(D$6=$D$39,($D$36-C42)*((1+'Datos Cotización 2'!$C$12)^('Simulador VAN Cotización 2'!D$6)),0))</f>
        <v>0</v>
      </c>
      <c r="E44" s="119">
        <f>IF(E$6&lt;$D$39,E41,IF(E$6=$D$39,($D$36-D42)*((1+'Datos Cotización 2'!$C$12)^('Simulador VAN Cotización 2'!E$6)),0))</f>
        <v>0</v>
      </c>
      <c r="F44" s="119">
        <f>IF(F$6&lt;$D$39,F41,IF(F$6=$D$39,($D$36-E42)*((1+'Datos Cotización 2'!$C$12)^('Simulador VAN Cotización 2'!F$6)),0))</f>
        <v>0</v>
      </c>
      <c r="G44" s="119">
        <f>IF(G$6&lt;$D$39,G41,IF(G$6=$D$39,($D$36-F42)*((1+'Datos Cotización 2'!$C$12)^('Simulador VAN Cotización 2'!G$6)),0))</f>
        <v>0</v>
      </c>
      <c r="H44" s="119">
        <f>IF(H$6&lt;$D$39,H41,IF(H$6=$D$39,($D$36-G42)*((1+'Datos Cotización 2'!$C$12)^('Simulador VAN Cotización 2'!H$6)),0))</f>
        <v>0</v>
      </c>
      <c r="I44" s="119">
        <f>IF(I$6&lt;$D$39,I41,IF(I$6=$D$39,($D$36-H42)*((1+'Datos Cotización 2'!$C$12)^('Simulador VAN Cotización 2'!I$6)),0))</f>
        <v>0</v>
      </c>
      <c r="J44" s="119">
        <f>IF(J$6&lt;$D$39,J41,IF(J$6=$D$39,($D$36-I42)*((1+'Datos Cotización 2'!$C$12)^('Simulador VAN Cotización 2'!J$6)),0))</f>
        <v>0</v>
      </c>
      <c r="K44" s="119">
        <f>IF(K$6&lt;$D$39,K41,IF(K$6=$D$39,($D$36-J42)*((1+'Datos Cotización 2'!$C$12)^('Simulador VAN Cotización 2'!K$6)),0))</f>
        <v>0</v>
      </c>
      <c r="L44" s="119">
        <f>IF(L$6&lt;$D$39,L41,IF(L$6=$D$39,($D$36-K42)*((1+'Datos Cotización 2'!$C$12)^('Simulador VAN Cotización 2'!L$6)),0))</f>
        <v>0</v>
      </c>
      <c r="M44" s="119">
        <f>IF(M$6&lt;$D$39,M41,IF(M$6=$D$39,($D$36-L42)*((1+'Datos Cotización 2'!$C$12)^('Simulador VAN Cotización 2'!M$6)),0))</f>
        <v>0</v>
      </c>
      <c r="N44" s="119">
        <f>IF(N$6&lt;$D$39,N41,IF(N$6=$D$39,($D$36-M42)*((1+'Datos Cotización 2'!$C$12)^('Simulador VAN Cotización 2'!N$6)),0))</f>
        <v>0</v>
      </c>
      <c r="O44" s="119">
        <f>IF(O$6&lt;$D$39,O41,IF(O$6=$D$39,($D$36-N42)*((1+'Datos Cotización 2'!$C$12)^('Simulador VAN Cotización 2'!O$6)),0))</f>
        <v>0</v>
      </c>
      <c r="P44" s="119">
        <f>IF(P$6&lt;$D$39,P41,IF(P$6=$D$39,($D$36-O42)*((1+'Datos Cotización 2'!$C$12)^('Simulador VAN Cotización 2'!P$6)),0))</f>
        <v>0</v>
      </c>
      <c r="Q44" s="119">
        <f>IF(Q$6&lt;$D$39,Q41,IF(Q$6=$D$39,($D$36-P42)*((1+'Datos Cotización 2'!$C$12)^('Simulador VAN Cotización 2'!Q$6)),0))</f>
        <v>0</v>
      </c>
    </row>
    <row r="45" spans="2:17" hidden="1" outlineLevel="1" x14ac:dyDescent="0.25">
      <c r="B45" s="61" t="s">
        <v>198</v>
      </c>
      <c r="D45" s="78">
        <f>NPV('Datos Cotización 2'!$C$12,'Simulador VAN Cotización 2'!D44:Q44)</f>
        <v>0</v>
      </c>
      <c r="E45" s="78"/>
      <c r="F45" s="78"/>
      <c r="G45" s="78"/>
      <c r="H45" s="78"/>
      <c r="I45" s="78"/>
      <c r="J45" s="78"/>
      <c r="K45" s="78"/>
      <c r="L45" s="78"/>
      <c r="M45" s="78"/>
      <c r="N45" s="78"/>
      <c r="O45" s="78"/>
      <c r="P45" s="78"/>
      <c r="Q45" s="78"/>
    </row>
    <row r="46" spans="2:17" hidden="1" outlineLevel="1" x14ac:dyDescent="0.25">
      <c r="B46" s="87" t="s">
        <v>199</v>
      </c>
      <c r="C46" s="129"/>
      <c r="D46" s="98">
        <f>+D45-D36</f>
        <v>0</v>
      </c>
      <c r="E46" s="78"/>
      <c r="F46" s="78"/>
      <c r="G46" s="78"/>
      <c r="H46" s="78"/>
      <c r="I46" s="78"/>
      <c r="J46" s="78"/>
      <c r="K46" s="78"/>
      <c r="L46" s="78"/>
      <c r="M46" s="78"/>
      <c r="N46" s="78"/>
      <c r="O46" s="78"/>
      <c r="P46" s="78"/>
      <c r="Q46" s="78"/>
    </row>
    <row r="47" spans="2:17" collapsed="1" x14ac:dyDescent="0.25"/>
    <row r="49" spans="2:9" hidden="1" outlineLevel="1" x14ac:dyDescent="0.25">
      <c r="B49" s="83" t="s">
        <v>200</v>
      </c>
      <c r="C49" s="132"/>
      <c r="E49" s="75"/>
    </row>
    <row r="50" spans="2:9" hidden="1" outlineLevel="1" x14ac:dyDescent="0.25">
      <c r="B50" s="83"/>
      <c r="C50" s="132"/>
      <c r="E50" s="75"/>
    </row>
    <row r="51" spans="2:9" hidden="1" outlineLevel="1" x14ac:dyDescent="0.25">
      <c r="B51" s="88" t="s">
        <v>201</v>
      </c>
      <c r="C51" s="133"/>
      <c r="D51" s="89" t="s">
        <v>116</v>
      </c>
      <c r="E51" s="89" t="s">
        <v>115</v>
      </c>
    </row>
    <row r="52" spans="2:9" hidden="1" outlineLevel="1" x14ac:dyDescent="0.25">
      <c r="B52" s="88" t="s">
        <v>118</v>
      </c>
      <c r="C52" s="133"/>
      <c r="D52" s="90">
        <v>0.08</v>
      </c>
      <c r="E52" s="90">
        <v>0.16</v>
      </c>
    </row>
    <row r="53" spans="2:9" hidden="1" outlineLevel="1" x14ac:dyDescent="0.25">
      <c r="B53" s="88" t="s">
        <v>119</v>
      </c>
      <c r="C53" s="133"/>
      <c r="D53" s="90">
        <v>0.08</v>
      </c>
      <c r="E53" s="90">
        <v>0.16</v>
      </c>
    </row>
    <row r="54" spans="2:9" hidden="1" outlineLevel="1" x14ac:dyDescent="0.25">
      <c r="B54" s="88" t="s">
        <v>120</v>
      </c>
      <c r="C54" s="133"/>
      <c r="D54" s="90">
        <v>0.04</v>
      </c>
      <c r="E54" s="90">
        <v>0.12</v>
      </c>
    </row>
    <row r="55" spans="2:9" hidden="1" outlineLevel="1" x14ac:dyDescent="0.25">
      <c r="B55" s="88" t="s">
        <v>167</v>
      </c>
      <c r="C55" s="133"/>
      <c r="D55" s="90">
        <v>0</v>
      </c>
      <c r="E55" s="90">
        <v>0.08</v>
      </c>
    </row>
    <row r="56" spans="2:9" hidden="1" outlineLevel="1" x14ac:dyDescent="0.25"/>
    <row r="57" spans="2:9" hidden="1" outlineLevel="1" x14ac:dyDescent="0.25">
      <c r="B57" s="79" t="s">
        <v>202</v>
      </c>
      <c r="C57" s="128"/>
      <c r="D57" s="78"/>
    </row>
    <row r="58" spans="2:9" ht="60" hidden="1" outlineLevel="1" x14ac:dyDescent="0.25">
      <c r="B58" s="94" t="str">
        <f>+'Formulario de cotización'!B25</f>
        <v>ITEMS</v>
      </c>
      <c r="C58" s="134"/>
      <c r="D58" s="94" t="str">
        <f>+'Formulario de cotización'!J25</f>
        <v>Origen Nacional (Si/No)</v>
      </c>
      <c r="E58" s="94" t="s">
        <v>203</v>
      </c>
      <c r="F58" s="94" t="s">
        <v>204</v>
      </c>
      <c r="G58" s="95" t="s">
        <v>213</v>
      </c>
      <c r="H58" s="95" t="s">
        <v>206</v>
      </c>
    </row>
    <row r="59" spans="2:9" hidden="1" outlineLevel="1" x14ac:dyDescent="0.25">
      <c r="B59" s="93">
        <f>+'Formulario de cotización'!B53</f>
        <v>1</v>
      </c>
      <c r="C59" s="135"/>
      <c r="D59" s="116" t="str">
        <f>IF('Datos Cotización 2'!$K$39="Si",IF('Formulario de cotización'!J53="Si","Si","No"),"No")</f>
        <v>No</v>
      </c>
      <c r="E59" s="110" t="str">
        <f>IF('Datos Cotización 2'!$K$41="Si",IF('Formulario de cotización'!L53="Seleccionar","Grande",'Formulario de cotización'!L53),"Grande")</f>
        <v>Grande</v>
      </c>
      <c r="F59" s="117">
        <f>IFERROR(VLOOKUP(E59,$B$52:$E$55,MATCH(D59,$B$51:$E$51),FALSE),0)</f>
        <v>0</v>
      </c>
      <c r="G59" s="118">
        <f>+'Datos Cotización 2'!G26</f>
        <v>0</v>
      </c>
      <c r="H59" s="118">
        <f>G59*(1-F59)</f>
        <v>0</v>
      </c>
      <c r="I59" s="81"/>
    </row>
    <row r="60" spans="2:9" hidden="1" outlineLevel="1" x14ac:dyDescent="0.25">
      <c r="B60" s="93">
        <f>+'Formulario de cotización'!B54</f>
        <v>2</v>
      </c>
      <c r="C60" s="135"/>
      <c r="D60" s="116" t="str">
        <f>IF('Datos Cotización 2'!$K$39="Si",IF('Formulario de cotización'!J54="Si","Si","No"),"No")</f>
        <v>No</v>
      </c>
      <c r="E60" s="110" t="str">
        <f>IF('Datos Cotización 2'!$K$41="Si",IF('Formulario de cotización'!L54="Seleccionar","Grande",'Formulario de cotización'!L54),"Grande")</f>
        <v>Grande</v>
      </c>
      <c r="F60" s="117">
        <f t="shared" ref="F60:F65" si="8">IFERROR(VLOOKUP(E60,$B$52:$E$55,MATCH(D60,$B$51:$E$51),FALSE),0)</f>
        <v>0</v>
      </c>
      <c r="G60" s="118">
        <f>+'Datos Cotización 2'!G27</f>
        <v>0</v>
      </c>
      <c r="H60" s="118">
        <f t="shared" ref="H60:H64" si="9">G60*(1-F60)</f>
        <v>0</v>
      </c>
      <c r="I60" s="81"/>
    </row>
    <row r="61" spans="2:9" hidden="1" outlineLevel="1" x14ac:dyDescent="0.25">
      <c r="B61" s="93">
        <f>+'Formulario de cotización'!B55</f>
        <v>3</v>
      </c>
      <c r="C61" s="135"/>
      <c r="D61" s="116" t="str">
        <f>IF('Datos Cotización 2'!$K$39="Si",IF('Formulario de cotización'!J55="Si","Si","No"),"No")</f>
        <v>No</v>
      </c>
      <c r="E61" s="110" t="str">
        <f>IF('Datos Cotización 2'!$K$41="Si",IF('Formulario de cotización'!L55="Seleccionar","Grande",'Formulario de cotización'!L55),"Grande")</f>
        <v>Grande</v>
      </c>
      <c r="F61" s="117">
        <f t="shared" si="8"/>
        <v>0</v>
      </c>
      <c r="G61" s="118">
        <f>+'Datos Cotización 2'!G28</f>
        <v>0</v>
      </c>
      <c r="H61" s="118">
        <f t="shared" si="9"/>
        <v>0</v>
      </c>
      <c r="I61" s="81"/>
    </row>
    <row r="62" spans="2:9" hidden="1" outlineLevel="1" x14ac:dyDescent="0.25">
      <c r="B62" s="93">
        <f>+'Formulario de cotización'!B56</f>
        <v>4</v>
      </c>
      <c r="C62" s="135"/>
      <c r="D62" s="116" t="str">
        <f>IF('Datos Cotización 2'!$K$39="Si",IF('Formulario de cotización'!J56="Si","Si","No"),"No")</f>
        <v>No</v>
      </c>
      <c r="E62" s="110" t="str">
        <f>IF('Datos Cotización 2'!$K$41="Si",IF('Formulario de cotización'!L56="Seleccionar","Grande",'Formulario de cotización'!L56),"Grande")</f>
        <v>Grande</v>
      </c>
      <c r="F62" s="117">
        <f t="shared" si="8"/>
        <v>0</v>
      </c>
      <c r="G62" s="118">
        <f>+'Datos Cotización 2'!G29</f>
        <v>0</v>
      </c>
      <c r="H62" s="118">
        <f t="shared" si="9"/>
        <v>0</v>
      </c>
      <c r="I62" s="81"/>
    </row>
    <row r="63" spans="2:9" hidden="1" outlineLevel="1" x14ac:dyDescent="0.25">
      <c r="B63" s="93">
        <f>+'Formulario de cotización'!B57</f>
        <v>5</v>
      </c>
      <c r="C63" s="135"/>
      <c r="D63" s="116" t="str">
        <f>IF('Datos Cotización 2'!$K$39="Si",IF('Formulario de cotización'!J57="Si","Si","No"),"No")</f>
        <v>No</v>
      </c>
      <c r="E63" s="110" t="str">
        <f>IF('Datos Cotización 2'!$K$41="Si",IF('Formulario de cotización'!L57="Seleccionar","Grande",'Formulario de cotización'!L57),"Grande")</f>
        <v>Grande</v>
      </c>
      <c r="F63" s="117">
        <f t="shared" si="8"/>
        <v>0</v>
      </c>
      <c r="G63" s="118">
        <f>+'Datos Cotización 2'!G30</f>
        <v>0</v>
      </c>
      <c r="H63" s="118">
        <f t="shared" si="9"/>
        <v>0</v>
      </c>
      <c r="I63" s="81"/>
    </row>
    <row r="64" spans="2:9" hidden="1" outlineLevel="1" x14ac:dyDescent="0.25">
      <c r="B64" s="93">
        <f>+'Formulario de cotización'!B58</f>
        <v>6</v>
      </c>
      <c r="C64" s="135"/>
      <c r="D64" s="116" t="str">
        <f>IF('Datos Cotización 2'!$K$39="Si",IF('Formulario de cotización'!J58="Si","Si","No"),"No")</f>
        <v>No</v>
      </c>
      <c r="E64" s="110" t="str">
        <f>IF('Datos Cotización 2'!$K$41="Si",IF('Formulario de cotización'!L58="Seleccionar","Grande",'Formulario de cotización'!L58),"Grande")</f>
        <v>Grande</v>
      </c>
      <c r="F64" s="117">
        <f t="shared" si="8"/>
        <v>0</v>
      </c>
      <c r="G64" s="118">
        <f>+'Datos Cotización 2'!G31</f>
        <v>0</v>
      </c>
      <c r="H64" s="118">
        <f t="shared" si="9"/>
        <v>0</v>
      </c>
      <c r="I64" s="81"/>
    </row>
    <row r="65" spans="1:17" hidden="1" outlineLevel="1" x14ac:dyDescent="0.25">
      <c r="B65" s="93">
        <f>+'Formulario de cotización'!B59</f>
        <v>7</v>
      </c>
      <c r="C65" s="135"/>
      <c r="D65" s="116" t="str">
        <f>IF('Datos Cotización 2'!$K$39="Si",IF('Formulario de cotización'!J59="Si","Si","No"),"No")</f>
        <v>No</v>
      </c>
      <c r="E65" s="110" t="str">
        <f>IF('Datos Cotización 2'!$K$41="Si",IF('Formulario de cotización'!L59="Seleccionar","Grande",'Formulario de cotización'!L59),"Grande")</f>
        <v>Grande</v>
      </c>
      <c r="F65" s="117">
        <f t="shared" si="8"/>
        <v>0</v>
      </c>
      <c r="G65" s="118">
        <f>+'Datos Cotización 2'!G32</f>
        <v>0</v>
      </c>
      <c r="H65" s="102">
        <f>G65*((1-(F65*(1-'Formulario de cotización'!K59))))</f>
        <v>0</v>
      </c>
      <c r="I65" s="81"/>
    </row>
    <row r="66" spans="1:17" hidden="1" outlineLevel="1" x14ac:dyDescent="0.25">
      <c r="B66" s="168" t="s">
        <v>127</v>
      </c>
      <c r="C66" s="169"/>
      <c r="D66" s="169"/>
      <c r="E66" s="169"/>
      <c r="F66" s="170"/>
      <c r="G66" s="104">
        <f>SUM(G59:G65)</f>
        <v>0</v>
      </c>
      <c r="H66" s="104">
        <f>SUM(H59:H65)</f>
        <v>0</v>
      </c>
    </row>
    <row r="67" spans="1:17" hidden="1" outlineLevel="1" x14ac:dyDescent="0.25">
      <c r="G67" s="82"/>
      <c r="H67" s="100"/>
    </row>
    <row r="68" spans="1:17" hidden="1" outlineLevel="1" x14ac:dyDescent="0.25">
      <c r="G68" s="100"/>
    </row>
    <row r="69" spans="1:17" collapsed="1" x14ac:dyDescent="0.25">
      <c r="A69" s="79" t="s">
        <v>163</v>
      </c>
      <c r="B69" s="79" t="s">
        <v>260</v>
      </c>
      <c r="G69" s="100"/>
    </row>
    <row r="70" spans="1:17" x14ac:dyDescent="0.25">
      <c r="G70" s="100"/>
    </row>
    <row r="71" spans="1:17" x14ac:dyDescent="0.25">
      <c r="A71" s="79" t="s">
        <v>165</v>
      </c>
      <c r="B71" s="123" t="s">
        <v>271</v>
      </c>
      <c r="C71" s="136"/>
    </row>
    <row r="73" spans="1:17" x14ac:dyDescent="0.25">
      <c r="B73" s="61" t="s">
        <v>112</v>
      </c>
      <c r="C73" s="75" t="s">
        <v>103</v>
      </c>
      <c r="D73" s="82">
        <f>D$10</f>
        <v>0</v>
      </c>
      <c r="E73" s="82">
        <f t="shared" ref="E73:Q73" si="10">E$10</f>
        <v>0</v>
      </c>
      <c r="F73" s="82">
        <f t="shared" si="10"/>
        <v>0</v>
      </c>
      <c r="G73" s="82">
        <f t="shared" si="10"/>
        <v>0</v>
      </c>
      <c r="H73" s="82">
        <f t="shared" si="10"/>
        <v>0</v>
      </c>
      <c r="I73" s="82">
        <f t="shared" si="10"/>
        <v>0</v>
      </c>
      <c r="J73" s="82">
        <f t="shared" si="10"/>
        <v>0</v>
      </c>
      <c r="K73" s="82">
        <f t="shared" si="10"/>
        <v>0</v>
      </c>
      <c r="L73" s="82">
        <f t="shared" si="10"/>
        <v>0</v>
      </c>
      <c r="M73" s="82">
        <f t="shared" si="10"/>
        <v>0</v>
      </c>
      <c r="N73" s="82">
        <f t="shared" si="10"/>
        <v>0</v>
      </c>
      <c r="O73" s="82">
        <f t="shared" si="10"/>
        <v>0</v>
      </c>
      <c r="P73" s="82">
        <f t="shared" si="10"/>
        <v>0</v>
      </c>
      <c r="Q73" s="82">
        <f t="shared" si="10"/>
        <v>0</v>
      </c>
    </row>
    <row r="74" spans="1:17" x14ac:dyDescent="0.25">
      <c r="B74" s="61" t="s">
        <v>121</v>
      </c>
      <c r="C74" s="75" t="s">
        <v>103</v>
      </c>
      <c r="D74" s="82">
        <f t="shared" ref="D74:Q74" si="11">-D27</f>
        <v>0</v>
      </c>
      <c r="E74" s="82">
        <f t="shared" si="11"/>
        <v>0</v>
      </c>
      <c r="F74" s="82">
        <f t="shared" si="11"/>
        <v>0</v>
      </c>
      <c r="G74" s="82">
        <f t="shared" si="11"/>
        <v>0</v>
      </c>
      <c r="H74" s="82">
        <f t="shared" si="11"/>
        <v>0</v>
      </c>
      <c r="I74" s="82">
        <f t="shared" si="11"/>
        <v>0</v>
      </c>
      <c r="J74" s="82">
        <f t="shared" si="11"/>
        <v>0</v>
      </c>
      <c r="K74" s="82">
        <f t="shared" si="11"/>
        <v>0</v>
      </c>
      <c r="L74" s="82">
        <f t="shared" si="11"/>
        <v>0</v>
      </c>
      <c r="M74" s="82">
        <f t="shared" si="11"/>
        <v>0</v>
      </c>
      <c r="N74" s="82">
        <f t="shared" si="11"/>
        <v>0</v>
      </c>
      <c r="O74" s="82">
        <f t="shared" si="11"/>
        <v>0</v>
      </c>
      <c r="P74" s="82">
        <f t="shared" si="11"/>
        <v>0</v>
      </c>
      <c r="Q74" s="82">
        <f t="shared" si="11"/>
        <v>0</v>
      </c>
    </row>
    <row r="75" spans="1:17" x14ac:dyDescent="0.25">
      <c r="K75" s="82"/>
    </row>
    <row r="76" spans="1:17" x14ac:dyDescent="0.25">
      <c r="B76" s="79" t="s">
        <v>237</v>
      </c>
      <c r="C76" s="128" t="s">
        <v>103</v>
      </c>
      <c r="D76" s="80">
        <f>D73+D74</f>
        <v>0</v>
      </c>
      <c r="E76" s="80">
        <f t="shared" ref="E76:Q76" si="12">E73+E74</f>
        <v>0</v>
      </c>
      <c r="F76" s="80">
        <f t="shared" si="12"/>
        <v>0</v>
      </c>
      <c r="G76" s="80">
        <f t="shared" si="12"/>
        <v>0</v>
      </c>
      <c r="H76" s="80">
        <f t="shared" si="12"/>
        <v>0</v>
      </c>
      <c r="I76" s="80">
        <f t="shared" si="12"/>
        <v>0</v>
      </c>
      <c r="J76" s="80">
        <f t="shared" si="12"/>
        <v>0</v>
      </c>
      <c r="K76" s="80">
        <f t="shared" si="12"/>
        <v>0</v>
      </c>
      <c r="L76" s="80">
        <f t="shared" si="12"/>
        <v>0</v>
      </c>
      <c r="M76" s="80">
        <f t="shared" si="12"/>
        <v>0</v>
      </c>
      <c r="N76" s="80">
        <f t="shared" si="12"/>
        <v>0</v>
      </c>
      <c r="O76" s="80">
        <f t="shared" si="12"/>
        <v>0</v>
      </c>
      <c r="P76" s="80">
        <f t="shared" si="12"/>
        <v>0</v>
      </c>
      <c r="Q76" s="80">
        <f t="shared" si="12"/>
        <v>0</v>
      </c>
    </row>
    <row r="78" spans="1:17" x14ac:dyDescent="0.25">
      <c r="B78" s="79" t="s">
        <v>238</v>
      </c>
      <c r="C78" s="128" t="s">
        <v>103</v>
      </c>
      <c r="D78" s="142">
        <f>NPV('Datos Cotización 2'!$C$12,'Simulador VAN Cotización 2'!D76:Q76)</f>
        <v>0</v>
      </c>
      <c r="E78" s="79"/>
    </row>
    <row r="79" spans="1:17" x14ac:dyDescent="0.25">
      <c r="B79" s="79"/>
      <c r="C79" s="128"/>
      <c r="E79" s="79"/>
    </row>
    <row r="80" spans="1:17" x14ac:dyDescent="0.25">
      <c r="A80" s="79" t="s">
        <v>166</v>
      </c>
      <c r="B80" s="123" t="s">
        <v>272</v>
      </c>
      <c r="C80" s="136"/>
    </row>
    <row r="82" spans="2:17" x14ac:dyDescent="0.25">
      <c r="B82" s="61" t="s">
        <v>112</v>
      </c>
      <c r="C82" s="75" t="s">
        <v>103</v>
      </c>
      <c r="D82" s="82">
        <f>D$10</f>
        <v>0</v>
      </c>
      <c r="E82" s="82">
        <f t="shared" ref="E82:Q82" si="13">E$10</f>
        <v>0</v>
      </c>
      <c r="F82" s="82">
        <f t="shared" si="13"/>
        <v>0</v>
      </c>
      <c r="G82" s="82">
        <f t="shared" si="13"/>
        <v>0</v>
      </c>
      <c r="H82" s="82">
        <f t="shared" si="13"/>
        <v>0</v>
      </c>
      <c r="I82" s="82">
        <f t="shared" si="13"/>
        <v>0</v>
      </c>
      <c r="J82" s="82">
        <f t="shared" si="13"/>
        <v>0</v>
      </c>
      <c r="K82" s="82">
        <f t="shared" si="13"/>
        <v>0</v>
      </c>
      <c r="L82" s="82">
        <f t="shared" si="13"/>
        <v>0</v>
      </c>
      <c r="M82" s="82">
        <f t="shared" si="13"/>
        <v>0</v>
      </c>
      <c r="N82" s="82">
        <f t="shared" si="13"/>
        <v>0</v>
      </c>
      <c r="O82" s="82">
        <f t="shared" si="13"/>
        <v>0</v>
      </c>
      <c r="P82" s="82">
        <f t="shared" si="13"/>
        <v>0</v>
      </c>
      <c r="Q82" s="82">
        <f t="shared" si="13"/>
        <v>0</v>
      </c>
    </row>
    <row r="83" spans="2:17" x14ac:dyDescent="0.25">
      <c r="B83" s="61" t="s">
        <v>121</v>
      </c>
      <c r="C83" s="75" t="s">
        <v>103</v>
      </c>
      <c r="D83" s="82">
        <f t="shared" ref="D83:Q83" si="14">-D44</f>
        <v>0</v>
      </c>
      <c r="E83" s="82">
        <f t="shared" si="14"/>
        <v>0</v>
      </c>
      <c r="F83" s="82">
        <f t="shared" si="14"/>
        <v>0</v>
      </c>
      <c r="G83" s="82">
        <f t="shared" si="14"/>
        <v>0</v>
      </c>
      <c r="H83" s="82">
        <f t="shared" si="14"/>
        <v>0</v>
      </c>
      <c r="I83" s="82">
        <f t="shared" si="14"/>
        <v>0</v>
      </c>
      <c r="J83" s="82">
        <f t="shared" si="14"/>
        <v>0</v>
      </c>
      <c r="K83" s="82">
        <f t="shared" si="14"/>
        <v>0</v>
      </c>
      <c r="L83" s="82">
        <f t="shared" si="14"/>
        <v>0</v>
      </c>
      <c r="M83" s="82">
        <f t="shared" si="14"/>
        <v>0</v>
      </c>
      <c r="N83" s="82">
        <f t="shared" si="14"/>
        <v>0</v>
      </c>
      <c r="O83" s="82">
        <f t="shared" si="14"/>
        <v>0</v>
      </c>
      <c r="P83" s="82">
        <f t="shared" si="14"/>
        <v>0</v>
      </c>
      <c r="Q83" s="82">
        <f t="shared" si="14"/>
        <v>0</v>
      </c>
    </row>
    <row r="84" spans="2:17" x14ac:dyDescent="0.25">
      <c r="K84" s="82"/>
    </row>
    <row r="85" spans="2:17" x14ac:dyDescent="0.25">
      <c r="B85" s="79" t="s">
        <v>207</v>
      </c>
      <c r="C85" s="128" t="s">
        <v>103</v>
      </c>
      <c r="D85" s="80">
        <f>D82+D83</f>
        <v>0</v>
      </c>
      <c r="E85" s="80">
        <f t="shared" ref="E85:Q85" si="15">E82+E83</f>
        <v>0</v>
      </c>
      <c r="F85" s="80">
        <f t="shared" si="15"/>
        <v>0</v>
      </c>
      <c r="G85" s="80">
        <f t="shared" si="15"/>
        <v>0</v>
      </c>
      <c r="H85" s="80">
        <f t="shared" si="15"/>
        <v>0</v>
      </c>
      <c r="I85" s="80">
        <f t="shared" si="15"/>
        <v>0</v>
      </c>
      <c r="J85" s="80">
        <f t="shared" si="15"/>
        <v>0</v>
      </c>
      <c r="K85" s="80">
        <f t="shared" si="15"/>
        <v>0</v>
      </c>
      <c r="L85" s="80">
        <f t="shared" si="15"/>
        <v>0</v>
      </c>
      <c r="M85" s="80">
        <f t="shared" si="15"/>
        <v>0</v>
      </c>
      <c r="N85" s="80">
        <f t="shared" si="15"/>
        <v>0</v>
      </c>
      <c r="O85" s="80">
        <f t="shared" si="15"/>
        <v>0</v>
      </c>
      <c r="P85" s="80">
        <f t="shared" si="15"/>
        <v>0</v>
      </c>
      <c r="Q85" s="80">
        <f t="shared" si="15"/>
        <v>0</v>
      </c>
    </row>
    <row r="87" spans="2:17" x14ac:dyDescent="0.25">
      <c r="B87" s="79" t="s">
        <v>208</v>
      </c>
      <c r="C87" s="128" t="s">
        <v>103</v>
      </c>
      <c r="D87" s="142">
        <f>NPV('Datos Cotización 2'!$C$12,'Simulador VAN Cotización 2'!D85:Q85)</f>
        <v>0</v>
      </c>
      <c r="E87" s="79"/>
    </row>
    <row r="89" spans="2:17" x14ac:dyDescent="0.25">
      <c r="B89" s="84"/>
      <c r="C89" s="137"/>
      <c r="D89" s="105"/>
    </row>
    <row r="90" spans="2:17" ht="15" customHeight="1" x14ac:dyDescent="0.25">
      <c r="B90" s="167" t="s">
        <v>249</v>
      </c>
      <c r="C90" s="167"/>
      <c r="D90" s="167"/>
      <c r="E90" s="167"/>
      <c r="F90" s="167"/>
      <c r="G90" s="167"/>
      <c r="H90" s="167"/>
      <c r="I90" s="167"/>
      <c r="J90" s="167"/>
    </row>
    <row r="91" spans="2:17" x14ac:dyDescent="0.25">
      <c r="B91" s="167"/>
      <c r="C91" s="167"/>
      <c r="D91" s="167"/>
      <c r="E91" s="167"/>
      <c r="F91" s="167"/>
      <c r="G91" s="167"/>
      <c r="H91" s="167"/>
      <c r="I91" s="167"/>
      <c r="J91" s="167"/>
    </row>
    <row r="92" spans="2:17" x14ac:dyDescent="0.25">
      <c r="B92" s="167"/>
      <c r="C92" s="167"/>
      <c r="D92" s="167"/>
      <c r="E92" s="167"/>
      <c r="F92" s="167"/>
      <c r="G92" s="167"/>
      <c r="H92" s="167"/>
      <c r="I92" s="167"/>
      <c r="J92" s="167"/>
    </row>
    <row r="93" spans="2:17" x14ac:dyDescent="0.25">
      <c r="B93" s="167"/>
      <c r="C93" s="167"/>
      <c r="D93" s="167"/>
      <c r="E93" s="167"/>
      <c r="F93" s="167"/>
      <c r="G93" s="167"/>
      <c r="H93" s="167"/>
      <c r="I93" s="167"/>
      <c r="J93" s="167"/>
    </row>
    <row r="94" spans="2:17" ht="37.5" customHeight="1" x14ac:dyDescent="0.25">
      <c r="B94" s="167"/>
      <c r="C94" s="167"/>
      <c r="D94" s="167"/>
      <c r="E94" s="167"/>
      <c r="F94" s="167"/>
      <c r="G94" s="167"/>
      <c r="H94" s="167"/>
      <c r="I94" s="167"/>
      <c r="J94" s="167"/>
    </row>
  </sheetData>
  <sheetProtection algorithmName="SHA-512" hashValue="jXICm93R8CuhqMgy3qAMQ63NaC971R0fzgR38mfxPjdsqeEwMik2rOl4yjdvThIITSWlRoC7nG4BK16uUIznhA==" saltValue="JHp9mZhGWkBrmWc6E8gEHA==" spinCount="100000" sheet="1" objects="1" scenarios="1"/>
  <mergeCells count="2">
    <mergeCell ref="B66:F66"/>
    <mergeCell ref="B90:J9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70"/>
  <sheetViews>
    <sheetView topLeftCell="A38" workbookViewId="0">
      <selection activeCell="C16" sqref="C16"/>
    </sheetView>
  </sheetViews>
  <sheetFormatPr baseColWidth="10" defaultRowHeight="15" x14ac:dyDescent="0.25"/>
  <cols>
    <col min="2" max="2" width="20.85546875" customWidth="1"/>
    <col min="3" max="3" width="45.85546875" customWidth="1"/>
    <col min="4" max="4" width="16.7109375" bestFit="1" customWidth="1"/>
    <col min="5" max="5" width="31.85546875" bestFit="1" customWidth="1"/>
  </cols>
  <sheetData>
    <row r="2" spans="1:4" x14ac:dyDescent="0.25">
      <c r="A2" s="2" t="s">
        <v>62</v>
      </c>
    </row>
    <row r="4" spans="1:4" x14ac:dyDescent="0.25">
      <c r="B4" s="1" t="s">
        <v>5</v>
      </c>
      <c r="C4" s="1" t="s">
        <v>1</v>
      </c>
    </row>
    <row r="5" spans="1:4" x14ac:dyDescent="0.25">
      <c r="B5" t="s">
        <v>2</v>
      </c>
      <c r="C5" s="3" t="s">
        <v>0</v>
      </c>
      <c r="D5" s="35">
        <v>0.5</v>
      </c>
    </row>
    <row r="6" spans="1:4" x14ac:dyDescent="0.25">
      <c r="B6" t="s">
        <v>3</v>
      </c>
      <c r="C6" s="3" t="s">
        <v>6</v>
      </c>
      <c r="D6" s="36">
        <v>10</v>
      </c>
    </row>
    <row r="7" spans="1:4" x14ac:dyDescent="0.25">
      <c r="B7" t="s">
        <v>4</v>
      </c>
      <c r="C7" s="3" t="s">
        <v>7</v>
      </c>
      <c r="D7" s="36">
        <v>10</v>
      </c>
    </row>
    <row r="8" spans="1:4" x14ac:dyDescent="0.25">
      <c r="B8" t="s">
        <v>9</v>
      </c>
      <c r="C8" s="3" t="s">
        <v>10</v>
      </c>
      <c r="D8" s="36">
        <v>0.54</v>
      </c>
    </row>
    <row r="10" spans="1:4" x14ac:dyDescent="0.25">
      <c r="B10" t="s">
        <v>14</v>
      </c>
      <c r="D10" s="35">
        <v>0.06</v>
      </c>
    </row>
    <row r="12" spans="1:4" x14ac:dyDescent="0.25">
      <c r="B12" t="s">
        <v>8</v>
      </c>
      <c r="C12" s="3" t="s">
        <v>38</v>
      </c>
      <c r="D12" s="41">
        <f>+'Datos luminarias país'!C51</f>
        <v>94.404982097375949</v>
      </c>
    </row>
    <row r="17" spans="1:20" x14ac:dyDescent="0.25">
      <c r="A17" t="s">
        <v>57</v>
      </c>
      <c r="B17" s="1" t="s">
        <v>44</v>
      </c>
      <c r="E17" s="7" t="s">
        <v>16</v>
      </c>
      <c r="F17" s="7">
        <v>1</v>
      </c>
      <c r="G17" s="7">
        <f>+F17+1</f>
        <v>2</v>
      </c>
      <c r="H17" s="7">
        <f t="shared" ref="H17:T17" si="0">+G17+1</f>
        <v>3</v>
      </c>
      <c r="I17" s="7">
        <f t="shared" si="0"/>
        <v>4</v>
      </c>
      <c r="J17" s="7">
        <f t="shared" si="0"/>
        <v>5</v>
      </c>
      <c r="K17" s="7">
        <f t="shared" si="0"/>
        <v>6</v>
      </c>
      <c r="L17" s="7">
        <f t="shared" si="0"/>
        <v>7</v>
      </c>
      <c r="M17" s="7">
        <f t="shared" si="0"/>
        <v>8</v>
      </c>
      <c r="N17" s="7">
        <f t="shared" si="0"/>
        <v>9</v>
      </c>
      <c r="O17" s="7">
        <f t="shared" si="0"/>
        <v>10</v>
      </c>
      <c r="P17" s="7">
        <f t="shared" si="0"/>
        <v>11</v>
      </c>
      <c r="Q17" s="7">
        <f t="shared" si="0"/>
        <v>12</v>
      </c>
      <c r="R17" s="7">
        <f t="shared" si="0"/>
        <v>13</v>
      </c>
      <c r="S17" s="7">
        <f t="shared" si="0"/>
        <v>14</v>
      </c>
      <c r="T17" s="7">
        <f t="shared" si="0"/>
        <v>15</v>
      </c>
    </row>
    <row r="19" spans="1:20" x14ac:dyDescent="0.25">
      <c r="E19" t="s">
        <v>11</v>
      </c>
      <c r="F19" s="5">
        <f t="shared" ref="F19:T19" si="1">$D$5*$D$12*IF(F$17&lt;=$D$6,1,0)*IF(F$17=1,$D$8,1)</f>
        <v>25.489345166291507</v>
      </c>
      <c r="G19" s="5">
        <f t="shared" si="1"/>
        <v>47.202491048687975</v>
      </c>
      <c r="H19" s="5">
        <f t="shared" si="1"/>
        <v>47.202491048687975</v>
      </c>
      <c r="I19" s="5">
        <f t="shared" si="1"/>
        <v>47.202491048687975</v>
      </c>
      <c r="J19" s="5">
        <f t="shared" si="1"/>
        <v>47.202491048687975</v>
      </c>
      <c r="K19" s="5">
        <f t="shared" si="1"/>
        <v>47.202491048687975</v>
      </c>
      <c r="L19" s="5">
        <f t="shared" si="1"/>
        <v>47.202491048687975</v>
      </c>
      <c r="M19" s="5">
        <f t="shared" si="1"/>
        <v>47.202491048687975</v>
      </c>
      <c r="N19" s="5">
        <f t="shared" si="1"/>
        <v>47.202491048687975</v>
      </c>
      <c r="O19" s="5">
        <f t="shared" si="1"/>
        <v>47.202491048687975</v>
      </c>
      <c r="P19" s="5">
        <f t="shared" si="1"/>
        <v>0</v>
      </c>
      <c r="Q19" s="5">
        <f t="shared" si="1"/>
        <v>0</v>
      </c>
      <c r="R19" s="5">
        <f t="shared" si="1"/>
        <v>0</v>
      </c>
      <c r="S19" s="5">
        <f t="shared" si="1"/>
        <v>0</v>
      </c>
      <c r="T19" s="5">
        <f t="shared" si="1"/>
        <v>0</v>
      </c>
    </row>
    <row r="20" spans="1:20" x14ac:dyDescent="0.25">
      <c r="F20" s="5"/>
      <c r="G20" s="5"/>
      <c r="H20" s="5"/>
      <c r="I20" s="5"/>
      <c r="J20" s="5"/>
      <c r="K20" s="5"/>
      <c r="L20" s="5"/>
      <c r="M20" s="5"/>
      <c r="N20" s="5"/>
      <c r="O20" s="5"/>
      <c r="P20" s="5"/>
      <c r="Q20" s="5"/>
      <c r="R20" s="5"/>
      <c r="S20" s="5"/>
      <c r="T20" s="5"/>
    </row>
    <row r="21" spans="1:20" hidden="1" x14ac:dyDescent="0.25">
      <c r="F21" s="5"/>
      <c r="G21" s="5"/>
      <c r="H21" s="5"/>
      <c r="I21" s="5"/>
      <c r="J21" s="5"/>
      <c r="K21" s="5"/>
      <c r="L21" s="5"/>
      <c r="M21" s="5"/>
      <c r="N21" s="5"/>
      <c r="O21" s="5"/>
      <c r="P21" s="5"/>
      <c r="Q21" s="5"/>
      <c r="R21" s="5"/>
      <c r="S21" s="5"/>
      <c r="T21" s="5"/>
    </row>
    <row r="22" spans="1:20" hidden="1" x14ac:dyDescent="0.25">
      <c r="F22" s="5"/>
      <c r="G22" s="5"/>
      <c r="H22" s="5"/>
      <c r="I22" s="5"/>
      <c r="J22" s="5"/>
      <c r="K22" s="5"/>
      <c r="L22" s="5"/>
      <c r="M22" s="5"/>
      <c r="N22" s="5"/>
      <c r="O22" s="5"/>
      <c r="P22" s="5"/>
      <c r="Q22" s="5"/>
      <c r="R22" s="5"/>
      <c r="S22" s="5"/>
      <c r="T22" s="5"/>
    </row>
    <row r="23" spans="1:20" x14ac:dyDescent="0.25">
      <c r="E23" t="s">
        <v>13</v>
      </c>
      <c r="F23" s="5">
        <f>-IF(F$17&lt;=$D$7,0.9*F19,0)</f>
        <v>-22.940410649662358</v>
      </c>
      <c r="G23" s="5">
        <f t="shared" ref="G23:T23" si="2">-IF(G$17&lt;=$D$7,0.9*G19,0)</f>
        <v>-42.482241943819176</v>
      </c>
      <c r="H23" s="5">
        <f t="shared" si="2"/>
        <v>-42.482241943819176</v>
      </c>
      <c r="I23" s="5">
        <f t="shared" si="2"/>
        <v>-42.482241943819176</v>
      </c>
      <c r="J23" s="5">
        <f t="shared" si="2"/>
        <v>-42.482241943819176</v>
      </c>
      <c r="K23" s="5">
        <f t="shared" si="2"/>
        <v>-42.482241943819176</v>
      </c>
      <c r="L23" s="5">
        <f t="shared" si="2"/>
        <v>-42.482241943819176</v>
      </c>
      <c r="M23" s="5">
        <f t="shared" si="2"/>
        <v>-42.482241943819176</v>
      </c>
      <c r="N23" s="5">
        <f t="shared" si="2"/>
        <v>-42.482241943819176</v>
      </c>
      <c r="O23" s="5">
        <f t="shared" si="2"/>
        <v>-42.482241943819176</v>
      </c>
      <c r="P23" s="5">
        <f t="shared" si="2"/>
        <v>0</v>
      </c>
      <c r="Q23" s="5">
        <f t="shared" si="2"/>
        <v>0</v>
      </c>
      <c r="R23" s="5">
        <f t="shared" si="2"/>
        <v>0</v>
      </c>
      <c r="S23" s="5">
        <f t="shared" si="2"/>
        <v>0</v>
      </c>
      <c r="T23" s="5">
        <f t="shared" si="2"/>
        <v>0</v>
      </c>
    </row>
    <row r="24" spans="1:20" x14ac:dyDescent="0.25">
      <c r="F24" s="5"/>
      <c r="G24" s="5"/>
      <c r="H24" s="5"/>
      <c r="I24" s="5"/>
      <c r="J24" s="5"/>
      <c r="K24" s="5"/>
      <c r="L24" s="5"/>
      <c r="M24" s="5"/>
      <c r="N24" s="5"/>
      <c r="O24" s="5"/>
      <c r="P24" s="5"/>
      <c r="Q24" s="5"/>
      <c r="R24" s="5"/>
      <c r="S24" s="5"/>
      <c r="T24" s="5"/>
    </row>
    <row r="25" spans="1:20" x14ac:dyDescent="0.25">
      <c r="E25" s="1" t="s">
        <v>15</v>
      </c>
      <c r="F25" s="6">
        <f>SUM(F19:F23)</f>
        <v>2.5489345166291493</v>
      </c>
      <c r="G25" s="6">
        <f t="shared" ref="G25:T25" si="3">SUM(G19:G23)</f>
        <v>4.7202491048687989</v>
      </c>
      <c r="H25" s="6">
        <f t="shared" si="3"/>
        <v>4.7202491048687989</v>
      </c>
      <c r="I25" s="6">
        <f t="shared" si="3"/>
        <v>4.7202491048687989</v>
      </c>
      <c r="J25" s="6">
        <f t="shared" si="3"/>
        <v>4.7202491048687989</v>
      </c>
      <c r="K25" s="6">
        <f t="shared" si="3"/>
        <v>4.7202491048687989</v>
      </c>
      <c r="L25" s="6">
        <f t="shared" si="3"/>
        <v>4.7202491048687989</v>
      </c>
      <c r="M25" s="6">
        <f t="shared" si="3"/>
        <v>4.7202491048687989</v>
      </c>
      <c r="N25" s="6">
        <f t="shared" si="3"/>
        <v>4.7202491048687989</v>
      </c>
      <c r="O25" s="6">
        <f t="shared" si="3"/>
        <v>4.7202491048687989</v>
      </c>
      <c r="P25" s="6">
        <f t="shared" si="3"/>
        <v>0</v>
      </c>
      <c r="Q25" s="6">
        <f t="shared" si="3"/>
        <v>0</v>
      </c>
      <c r="R25" s="6">
        <f t="shared" si="3"/>
        <v>0</v>
      </c>
      <c r="S25" s="6">
        <f t="shared" si="3"/>
        <v>0</v>
      </c>
      <c r="T25" s="6">
        <f t="shared" si="3"/>
        <v>0</v>
      </c>
    </row>
    <row r="27" spans="1:20" x14ac:dyDescent="0.25">
      <c r="E27" s="1" t="str">
        <f>"VAN "&amp;$A$2&amp;" - sin subsidio"</f>
        <v>VAN Oferta 2 - sin subsidio</v>
      </c>
      <c r="F27" s="24">
        <f>NPV($D$10,F25:T25)</f>
        <v>32.693034327291322</v>
      </c>
    </row>
    <row r="28" spans="1:20" x14ac:dyDescent="0.25">
      <c r="F28" s="22"/>
    </row>
    <row r="29" spans="1:20" x14ac:dyDescent="0.25">
      <c r="A29" t="s">
        <v>58</v>
      </c>
      <c r="B29" s="1" t="s">
        <v>39</v>
      </c>
      <c r="E29" t="s">
        <v>68</v>
      </c>
      <c r="F29" s="39">
        <f>-F23*3.3/32</f>
        <v>2.3657298482464304</v>
      </c>
    </row>
    <row r="30" spans="1:20" x14ac:dyDescent="0.25">
      <c r="E30" t="s">
        <v>69</v>
      </c>
      <c r="F30" s="40">
        <f>F29*1.5</f>
        <v>3.5485947723696456</v>
      </c>
    </row>
    <row r="31" spans="1:20" x14ac:dyDescent="0.25">
      <c r="B31" t="s">
        <v>17</v>
      </c>
      <c r="C31" s="3" t="s">
        <v>18</v>
      </c>
      <c r="D31" s="9">
        <f>+'Datos luminarias país'!C32</f>
        <v>86560</v>
      </c>
    </row>
    <row r="33" spans="2:5" x14ac:dyDescent="0.25">
      <c r="B33" t="s">
        <v>54</v>
      </c>
      <c r="C33" s="3"/>
      <c r="D33" s="8">
        <f>70000/D31</f>
        <v>0.80868761552680224</v>
      </c>
    </row>
    <row r="35" spans="2:5" x14ac:dyDescent="0.25">
      <c r="B35" t="s">
        <v>19</v>
      </c>
      <c r="C35" s="3" t="s">
        <v>20</v>
      </c>
      <c r="D35" s="9">
        <f>+'Datos luminarias país'!C72</f>
        <v>5626.9854031434315</v>
      </c>
    </row>
    <row r="37" spans="2:5" x14ac:dyDescent="0.25">
      <c r="B37" t="s">
        <v>55</v>
      </c>
      <c r="D37" s="8">
        <f>D33*D31*D5/(D33*D31*D5+D35)</f>
        <v>0.86149635895189869</v>
      </c>
      <c r="E37" s="4">
        <f>+'Oferta 1'!D37</f>
        <v>0.71330363336173774</v>
      </c>
    </row>
    <row r="39" spans="2:5" x14ac:dyDescent="0.25">
      <c r="B39" t="s">
        <v>42</v>
      </c>
      <c r="C39" s="3" t="s">
        <v>41</v>
      </c>
      <c r="D39" s="18">
        <v>150</v>
      </c>
    </row>
    <row r="41" spans="2:5" x14ac:dyDescent="0.25">
      <c r="C41" t="s">
        <v>40</v>
      </c>
      <c r="D41" s="37">
        <v>2.9634</v>
      </c>
    </row>
    <row r="43" spans="2:5" x14ac:dyDescent="0.25">
      <c r="B43" t="s">
        <v>43</v>
      </c>
      <c r="C43" s="3" t="s">
        <v>41</v>
      </c>
      <c r="D43" s="18">
        <f>D39/D41</f>
        <v>50.617533913747721</v>
      </c>
    </row>
    <row r="45" spans="2:5" x14ac:dyDescent="0.25">
      <c r="B45" t="s">
        <v>56</v>
      </c>
      <c r="C45" t="s">
        <v>37</v>
      </c>
      <c r="D45" s="15">
        <f>D43*D37</f>
        <v>43.606821165817912</v>
      </c>
      <c r="E45" s="9">
        <f>+'Oferta 1'!D45</f>
        <v>36.105670852487229</v>
      </c>
    </row>
    <row r="49" spans="1:20" x14ac:dyDescent="0.25">
      <c r="A49" t="s">
        <v>59</v>
      </c>
      <c r="B49" s="1" t="s">
        <v>60</v>
      </c>
      <c r="E49" s="7" t="s">
        <v>16</v>
      </c>
      <c r="F49" s="7">
        <v>1</v>
      </c>
      <c r="G49" s="7">
        <f>+F49+1</f>
        <v>2</v>
      </c>
      <c r="H49" s="7">
        <f t="shared" ref="H49:T49" si="4">+G49+1</f>
        <v>3</v>
      </c>
      <c r="I49" s="7">
        <f t="shared" si="4"/>
        <v>4</v>
      </c>
      <c r="J49" s="7">
        <f t="shared" si="4"/>
        <v>5</v>
      </c>
      <c r="K49" s="7">
        <f t="shared" si="4"/>
        <v>6</v>
      </c>
      <c r="L49" s="7">
        <f t="shared" si="4"/>
        <v>7</v>
      </c>
      <c r="M49" s="7">
        <f t="shared" si="4"/>
        <v>8</v>
      </c>
      <c r="N49" s="7">
        <f t="shared" si="4"/>
        <v>9</v>
      </c>
      <c r="O49" s="7">
        <f t="shared" si="4"/>
        <v>10</v>
      </c>
      <c r="P49" s="7">
        <f t="shared" si="4"/>
        <v>11</v>
      </c>
      <c r="Q49" s="7">
        <f t="shared" si="4"/>
        <v>12</v>
      </c>
      <c r="R49" s="7">
        <f t="shared" si="4"/>
        <v>13</v>
      </c>
      <c r="S49" s="7">
        <f t="shared" si="4"/>
        <v>14</v>
      </c>
      <c r="T49" s="7">
        <f t="shared" si="4"/>
        <v>15</v>
      </c>
    </row>
    <row r="51" spans="1:20" x14ac:dyDescent="0.25">
      <c r="E51" t="s">
        <v>11</v>
      </c>
      <c r="F51" s="5">
        <f>+F19</f>
        <v>25.489345166291507</v>
      </c>
      <c r="G51" s="5">
        <f t="shared" ref="G51:T51" si="5">+G19</f>
        <v>47.202491048687975</v>
      </c>
      <c r="H51" s="5">
        <f t="shared" si="5"/>
        <v>47.202491048687975</v>
      </c>
      <c r="I51" s="5">
        <f t="shared" si="5"/>
        <v>47.202491048687975</v>
      </c>
      <c r="J51" s="5">
        <f t="shared" si="5"/>
        <v>47.202491048687975</v>
      </c>
      <c r="K51" s="5">
        <f t="shared" si="5"/>
        <v>47.202491048687975</v>
      </c>
      <c r="L51" s="5">
        <f t="shared" si="5"/>
        <v>47.202491048687975</v>
      </c>
      <c r="M51" s="5">
        <f t="shared" si="5"/>
        <v>47.202491048687975</v>
      </c>
      <c r="N51" s="5">
        <f t="shared" si="5"/>
        <v>47.202491048687975</v>
      </c>
      <c r="O51" s="5">
        <f t="shared" si="5"/>
        <v>47.202491048687975</v>
      </c>
      <c r="P51" s="5">
        <f t="shared" si="5"/>
        <v>0</v>
      </c>
      <c r="Q51" s="5">
        <f t="shared" si="5"/>
        <v>0</v>
      </c>
      <c r="R51" s="5">
        <f t="shared" si="5"/>
        <v>0</v>
      </c>
      <c r="S51" s="5">
        <f t="shared" si="5"/>
        <v>0</v>
      </c>
      <c r="T51" s="5">
        <f t="shared" si="5"/>
        <v>0</v>
      </c>
    </row>
    <row r="52" spans="1:20" x14ac:dyDescent="0.25">
      <c r="F52" s="5"/>
      <c r="G52" s="5"/>
      <c r="H52" s="5"/>
      <c r="I52" s="5"/>
      <c r="J52" s="5"/>
      <c r="K52" s="5"/>
      <c r="L52" s="5"/>
      <c r="M52" s="5"/>
      <c r="N52" s="5"/>
      <c r="O52" s="5"/>
      <c r="P52" s="5"/>
      <c r="Q52" s="5"/>
      <c r="R52" s="5"/>
      <c r="S52" s="5"/>
      <c r="T52" s="5"/>
    </row>
    <row r="53" spans="1:20" x14ac:dyDescent="0.25">
      <c r="E53" t="s">
        <v>12</v>
      </c>
      <c r="F53" s="9">
        <f>+D45*D8</f>
        <v>23.547683429541674</v>
      </c>
      <c r="G53" s="9">
        <f>+D45</f>
        <v>43.606821165817912</v>
      </c>
      <c r="H53" s="9">
        <f>+G53</f>
        <v>43.606821165817912</v>
      </c>
      <c r="I53" s="5"/>
      <c r="J53" s="5"/>
      <c r="K53" s="5"/>
      <c r="L53" s="5"/>
      <c r="M53" s="5"/>
      <c r="N53" s="5"/>
      <c r="O53" s="5"/>
      <c r="P53" s="5"/>
      <c r="Q53" s="5"/>
      <c r="R53" s="5"/>
      <c r="S53" s="5"/>
      <c r="T53" s="5"/>
    </row>
    <row r="54" spans="1:20" x14ac:dyDescent="0.25">
      <c r="F54" s="5"/>
      <c r="G54" s="5"/>
      <c r="H54" s="5"/>
      <c r="I54" s="5"/>
      <c r="J54" s="5"/>
      <c r="K54" s="5"/>
      <c r="L54" s="5"/>
      <c r="M54" s="5"/>
      <c r="N54" s="5"/>
      <c r="O54" s="5"/>
      <c r="P54" s="5"/>
      <c r="Q54" s="5"/>
      <c r="R54" s="5"/>
      <c r="S54" s="5"/>
      <c r="T54" s="5"/>
    </row>
    <row r="55" spans="1:20" x14ac:dyDescent="0.25">
      <c r="E55" t="s">
        <v>13</v>
      </c>
      <c r="F55" s="5">
        <f>+F23</f>
        <v>-22.940410649662358</v>
      </c>
      <c r="G55" s="5">
        <f t="shared" ref="G55:T55" si="6">+G23</f>
        <v>-42.482241943819176</v>
      </c>
      <c r="H55" s="5">
        <f t="shared" si="6"/>
        <v>-42.482241943819176</v>
      </c>
      <c r="I55" s="5">
        <f t="shared" si="6"/>
        <v>-42.482241943819176</v>
      </c>
      <c r="J55" s="5">
        <f t="shared" si="6"/>
        <v>-42.482241943819176</v>
      </c>
      <c r="K55" s="5">
        <f t="shared" si="6"/>
        <v>-42.482241943819176</v>
      </c>
      <c r="L55" s="5">
        <f t="shared" si="6"/>
        <v>-42.482241943819176</v>
      </c>
      <c r="M55" s="5">
        <f t="shared" si="6"/>
        <v>-42.482241943819176</v>
      </c>
      <c r="N55" s="5">
        <f t="shared" si="6"/>
        <v>-42.482241943819176</v>
      </c>
      <c r="O55" s="5">
        <f t="shared" si="6"/>
        <v>-42.482241943819176</v>
      </c>
      <c r="P55" s="5">
        <f t="shared" si="6"/>
        <v>0</v>
      </c>
      <c r="Q55" s="5">
        <f t="shared" si="6"/>
        <v>0</v>
      </c>
      <c r="R55" s="5">
        <f t="shared" si="6"/>
        <v>0</v>
      </c>
      <c r="S55" s="5">
        <f t="shared" si="6"/>
        <v>0</v>
      </c>
      <c r="T55" s="5">
        <f t="shared" si="6"/>
        <v>0</v>
      </c>
    </row>
    <row r="56" spans="1:20" x14ac:dyDescent="0.25">
      <c r="F56" s="5"/>
      <c r="G56" s="5"/>
      <c r="H56" s="5"/>
      <c r="I56" s="5"/>
      <c r="J56" s="5"/>
      <c r="K56" s="5"/>
      <c r="L56" s="5"/>
      <c r="M56" s="5"/>
      <c r="N56" s="5"/>
      <c r="O56" s="5"/>
      <c r="P56" s="5"/>
      <c r="Q56" s="5"/>
      <c r="R56" s="5"/>
      <c r="S56" s="5"/>
      <c r="T56" s="5"/>
    </row>
    <row r="57" spans="1:20" x14ac:dyDescent="0.25">
      <c r="E57" s="1" t="s">
        <v>15</v>
      </c>
      <c r="F57" s="6">
        <f>SUM(F51:F55)</f>
        <v>26.09661794617082</v>
      </c>
      <c r="G57" s="6">
        <f t="shared" ref="G57:T57" si="7">SUM(G51:G55)</f>
        <v>48.327070270686718</v>
      </c>
      <c r="H57" s="6">
        <f t="shared" si="7"/>
        <v>48.327070270686718</v>
      </c>
      <c r="I57" s="6">
        <f t="shared" si="7"/>
        <v>4.7202491048687989</v>
      </c>
      <c r="J57" s="6">
        <f t="shared" si="7"/>
        <v>4.7202491048687989</v>
      </c>
      <c r="K57" s="6">
        <f t="shared" si="7"/>
        <v>4.7202491048687989</v>
      </c>
      <c r="L57" s="6">
        <f t="shared" si="7"/>
        <v>4.7202491048687989</v>
      </c>
      <c r="M57" s="6">
        <f t="shared" si="7"/>
        <v>4.7202491048687989</v>
      </c>
      <c r="N57" s="6">
        <f t="shared" si="7"/>
        <v>4.7202491048687989</v>
      </c>
      <c r="O57" s="6">
        <f t="shared" si="7"/>
        <v>4.7202491048687989</v>
      </c>
      <c r="P57" s="6">
        <f t="shared" si="7"/>
        <v>0</v>
      </c>
      <c r="Q57" s="6">
        <f t="shared" si="7"/>
        <v>0</v>
      </c>
      <c r="R57" s="6">
        <f t="shared" si="7"/>
        <v>0</v>
      </c>
      <c r="S57" s="6">
        <f t="shared" si="7"/>
        <v>0</v>
      </c>
      <c r="T57" s="6">
        <f t="shared" si="7"/>
        <v>0</v>
      </c>
    </row>
    <row r="59" spans="1:20" x14ac:dyDescent="0.25">
      <c r="E59" s="1" t="str">
        <f>"VAN "&amp;$A$2&amp;" - con subsidio"</f>
        <v>VAN Oferta 2 - con subsidio</v>
      </c>
      <c r="F59" s="24">
        <f>NPV($D$10,F57:T57)</f>
        <v>130.33087353601556</v>
      </c>
    </row>
    <row r="61" spans="1:20" x14ac:dyDescent="0.25">
      <c r="F61" s="22"/>
    </row>
    <row r="62" spans="1:20" x14ac:dyDescent="0.25">
      <c r="F62" s="22"/>
      <c r="G62" s="22"/>
      <c r="H62" s="22"/>
    </row>
    <row r="63" spans="1:20" x14ac:dyDescent="0.25">
      <c r="F63" s="22"/>
      <c r="G63" s="22"/>
      <c r="H63" s="22"/>
    </row>
    <row r="64" spans="1:20" x14ac:dyDescent="0.25">
      <c r="F64" s="22"/>
      <c r="G64" s="22"/>
      <c r="H64" s="22"/>
    </row>
    <row r="65" spans="6:8" x14ac:dyDescent="0.25">
      <c r="F65" s="22"/>
      <c r="G65" s="22"/>
      <c r="H65" s="22"/>
    </row>
    <row r="67" spans="6:8" x14ac:dyDescent="0.25">
      <c r="F67" s="22"/>
      <c r="G67" s="22"/>
      <c r="H67" s="22"/>
    </row>
    <row r="70" spans="6:8" x14ac:dyDescent="0.25">
      <c r="F70" s="5"/>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Comparativo</vt:lpstr>
      <vt:lpstr>Oferta 1</vt:lpstr>
      <vt:lpstr>Oferta 2</vt:lpstr>
      <vt:lpstr>Formulario de cotización</vt:lpstr>
      <vt:lpstr>Datos Cotización 1</vt:lpstr>
      <vt:lpstr>Datos Cotización 2</vt:lpstr>
      <vt:lpstr>Simulador VAN Cotización 1</vt:lpstr>
      <vt:lpstr>Simulador VAN Cotización 2</vt:lpstr>
      <vt:lpstr>Simulación</vt:lpstr>
      <vt:lpstr>Datos luminarias país</vt:lpstr>
      <vt:lpstr>Supuestos Interior</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Bracco</dc:creator>
  <cp:lastModifiedBy>Claudia Bracco</cp:lastModifiedBy>
  <cp:lastPrinted>2017-07-03T20:07:35Z</cp:lastPrinted>
  <dcterms:created xsi:type="dcterms:W3CDTF">2016-03-15T12:49:07Z</dcterms:created>
  <dcterms:modified xsi:type="dcterms:W3CDTF">2017-07-03T20:14:39Z</dcterms:modified>
</cp:coreProperties>
</file>